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J:\IRP\2023 IRP\PRiSM\Final IRP\"/>
    </mc:Choice>
  </mc:AlternateContent>
  <xr:revisionPtr revIDLastSave="0" documentId="13_ncr:1_{1FE73332-A169-4FD6-8FC0-D2A7961459F0}" xr6:coauthVersionLast="47" xr6:coauthVersionMax="47" xr10:uidLastSave="{00000000-0000-0000-0000-000000000000}"/>
  <bookViews>
    <workbookView xWindow="28680" yWindow="-120" windowWidth="29040" windowHeight="15990" tabRatio="706" firstSheet="6" activeTab="15" xr2:uid="{00000000-000D-0000-FFFF-FFFF00000000}"/>
  </bookViews>
  <sheets>
    <sheet name="Scenario List" sheetId="16" r:id="rId1"/>
    <sheet name="Sensitivities" sheetId="26" r:id="rId2"/>
    <sheet name="WA Sensitivities" sheetId="29" r:id="rId3"/>
    <sheet name="ID Sensitivities" sheetId="28" r:id="rId4"/>
    <sheet name="Sensitivity Summary" sheetId="27" r:id="rId5"/>
    <sheet name="Summary Data" sheetId="7" r:id="rId6"/>
    <sheet name="Summary Resources" sheetId="8" r:id="rId7"/>
    <sheet name="Resource Table" sheetId="22" r:id="rId8"/>
    <sheet name="PRS" sheetId="19" r:id="rId9"/>
    <sheet name="Annual Summaries" sheetId="6" r:id="rId10"/>
    <sheet name="Summary Table" sheetId="20" r:id="rId11"/>
    <sheet name="GHG-PRS" sheetId="11" r:id="rId12"/>
    <sheet name="Cost Cap" sheetId="21" r:id="rId13"/>
    <sheet name="SR-Avoided Cost" sheetId="9" r:id="rId14"/>
    <sheet name="Cost &amp; Rates" sheetId="23" r:id="rId15"/>
    <sheet name="GHG Emissions" sheetId="24" r:id="rId16"/>
    <sheet name="Risk" sheetId="25" r:id="rId17"/>
  </sheets>
  <definedNames>
    <definedName name="solver_eng" localSheetId="13" hidden="1">1</definedName>
    <definedName name="solver_neg" localSheetId="13" hidden="1">1</definedName>
    <definedName name="solver_num" localSheetId="13" hidden="1">0</definedName>
    <definedName name="solver_opt" localSheetId="13" hidden="1">'SR-Avoided Cost'!$W$28</definedName>
    <definedName name="solver_typ" localSheetId="13" hidden="1">1</definedName>
    <definedName name="solver_val" localSheetId="13" hidden="1">0</definedName>
    <definedName name="solver_ver" localSheetId="13" hidden="1">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4" l="1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E46" i="24"/>
  <c r="E47" i="24"/>
  <c r="E48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45" i="24"/>
  <c r="D61" i="24"/>
  <c r="C61" i="24"/>
  <c r="D60" i="24"/>
  <c r="C60" i="24"/>
  <c r="D59" i="24"/>
  <c r="C59" i="24"/>
  <c r="D58" i="24"/>
  <c r="C58" i="24"/>
  <c r="D57" i="24"/>
  <c r="C57" i="24"/>
  <c r="D56" i="24"/>
  <c r="C56" i="24"/>
  <c r="D55" i="24"/>
  <c r="C55" i="24"/>
  <c r="D54" i="24"/>
  <c r="C54" i="24"/>
  <c r="D53" i="24"/>
  <c r="C53" i="24"/>
  <c r="D52" i="24"/>
  <c r="C52" i="24"/>
  <c r="D51" i="24"/>
  <c r="C51" i="24"/>
  <c r="D50" i="24"/>
  <c r="C50" i="24"/>
  <c r="D49" i="24"/>
  <c r="C49" i="24"/>
  <c r="D48" i="24"/>
  <c r="C48" i="24"/>
  <c r="D47" i="24"/>
  <c r="C47" i="24"/>
  <c r="D46" i="24"/>
  <c r="C46" i="24"/>
  <c r="D45" i="24"/>
  <c r="C45" i="24"/>
  <c r="F4" i="24"/>
  <c r="E41" i="22"/>
  <c r="E45" i="22"/>
  <c r="E37" i="22"/>
  <c r="H8" i="27"/>
  <c r="I8" i="27" s="1"/>
  <c r="U30" i="22"/>
  <c r="U14" i="22"/>
  <c r="E47" i="22" s="1"/>
  <c r="U13" i="22"/>
  <c r="U12" i="22"/>
  <c r="U11" i="22"/>
  <c r="E44" i="22" s="1"/>
  <c r="U10" i="22"/>
  <c r="E43" i="22" s="1"/>
  <c r="U9" i="22"/>
  <c r="U8" i="22"/>
  <c r="U7" i="22"/>
  <c r="U6" i="22"/>
  <c r="E39" i="22" s="1"/>
  <c r="U5" i="22"/>
  <c r="E38" i="22" s="1"/>
  <c r="U4" i="22"/>
  <c r="U2" i="22"/>
  <c r="AM2" i="22" s="1"/>
  <c r="AB879" i="8"/>
  <c r="AB878" i="8"/>
  <c r="AB877" i="8"/>
  <c r="AB874" i="8"/>
  <c r="AB873" i="8"/>
  <c r="AB872" i="8"/>
  <c r="AB869" i="8"/>
  <c r="AB868" i="8"/>
  <c r="AB867" i="8"/>
  <c r="AB866" i="8"/>
  <c r="AB865" i="8"/>
  <c r="AB864" i="8"/>
  <c r="AB863" i="8"/>
  <c r="AB862" i="8"/>
  <c r="AB861" i="8"/>
  <c r="AB860" i="8"/>
  <c r="AB859" i="8"/>
  <c r="AB856" i="8"/>
  <c r="AB855" i="8"/>
  <c r="AB854" i="8"/>
  <c r="AB853" i="8"/>
  <c r="AB852" i="8"/>
  <c r="AB851" i="8"/>
  <c r="AB850" i="8"/>
  <c r="AB849" i="8"/>
  <c r="AB848" i="8"/>
  <c r="AB847" i="8"/>
  <c r="AB846" i="8"/>
  <c r="AB842" i="8"/>
  <c r="AB841" i="8"/>
  <c r="AB840" i="8"/>
  <c r="AB839" i="8"/>
  <c r="AB838" i="8"/>
  <c r="AB837" i="8"/>
  <c r="AB836" i="8"/>
  <c r="AB835" i="8"/>
  <c r="AB834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33" i="8"/>
  <c r="E11" i="28"/>
  <c r="C12" i="28"/>
  <c r="D12" i="28"/>
  <c r="E12" i="28"/>
  <c r="C13" i="28"/>
  <c r="D13" i="28"/>
  <c r="E13" i="28"/>
  <c r="D11" i="28"/>
  <c r="C11" i="28"/>
  <c r="N8" i="27"/>
  <c r="N7" i="27"/>
  <c r="G8" i="27"/>
  <c r="G5" i="27"/>
  <c r="B8" i="27"/>
  <c r="BX493" i="26"/>
  <c r="BW493" i="26"/>
  <c r="BV493" i="26"/>
  <c r="BU493" i="26"/>
  <c r="CH492" i="26"/>
  <c r="CH493" i="26" s="1"/>
  <c r="CG492" i="26"/>
  <c r="CG493" i="26" s="1"/>
  <c r="CF492" i="26"/>
  <c r="CF493" i="26" s="1"/>
  <c r="CE492" i="26"/>
  <c r="CE493" i="26" s="1"/>
  <c r="CD492" i="26"/>
  <c r="CD493" i="26" s="1"/>
  <c r="CC492" i="26"/>
  <c r="CC493" i="26" s="1"/>
  <c r="BZ492" i="26"/>
  <c r="BZ493" i="26" s="1"/>
  <c r="BY492" i="26"/>
  <c r="BY493" i="26" s="1"/>
  <c r="BX492" i="26"/>
  <c r="BW492" i="26"/>
  <c r="BV492" i="26"/>
  <c r="BU492" i="26"/>
  <c r="B470" i="26"/>
  <c r="A470" i="26" s="1"/>
  <c r="B471" i="26"/>
  <c r="A471" i="26" s="1"/>
  <c r="B472" i="26"/>
  <c r="A472" i="26" s="1"/>
  <c r="B473" i="26"/>
  <c r="A473" i="26" s="1"/>
  <c r="B474" i="26"/>
  <c r="A474" i="26" s="1"/>
  <c r="B475" i="26"/>
  <c r="A475" i="26" s="1"/>
  <c r="B476" i="26"/>
  <c r="A476" i="26" s="1"/>
  <c r="B477" i="26"/>
  <c r="A477" i="26" s="1"/>
  <c r="B478" i="26"/>
  <c r="B479" i="26"/>
  <c r="B480" i="26"/>
  <c r="B481" i="26"/>
  <c r="B482" i="26"/>
  <c r="B483" i="26"/>
  <c r="B484" i="26"/>
  <c r="A484" i="26" s="1"/>
  <c r="B485" i="26"/>
  <c r="B486" i="26"/>
  <c r="A486" i="26" s="1"/>
  <c r="B487" i="26"/>
  <c r="A487" i="26" s="1"/>
  <c r="B488" i="26"/>
  <c r="A488" i="26" s="1"/>
  <c r="B489" i="26"/>
  <c r="A489" i="26" s="1"/>
  <c r="B490" i="26"/>
  <c r="A490" i="26" s="1"/>
  <c r="B491" i="26"/>
  <c r="A491" i="26" s="1"/>
  <c r="B492" i="26"/>
  <c r="A492" i="26" s="1"/>
  <c r="B493" i="26"/>
  <c r="A493" i="26" s="1"/>
  <c r="B469" i="26"/>
  <c r="A485" i="26"/>
  <c r="A483" i="26"/>
  <c r="A482" i="26"/>
  <c r="A481" i="26"/>
  <c r="A480" i="26"/>
  <c r="A479" i="26"/>
  <c r="A478" i="26"/>
  <c r="A469" i="26"/>
  <c r="E42" i="22" l="1"/>
  <c r="E40" i="22"/>
  <c r="E36" i="22"/>
  <c r="E46" i="22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47" i="25"/>
  <c r="B62" i="25" l="1"/>
  <c r="B60" i="25"/>
  <c r="B59" i="25"/>
  <c r="B63" i="25"/>
  <c r="B52" i="25"/>
  <c r="B51" i="25"/>
  <c r="B61" i="25"/>
  <c r="B55" i="25"/>
  <c r="B56" i="25"/>
  <c r="B50" i="25"/>
  <c r="B54" i="25"/>
  <c r="B57" i="25"/>
  <c r="B49" i="25"/>
  <c r="B48" i="25"/>
  <c r="B53" i="25"/>
  <c r="B47" i="25"/>
  <c r="B58" i="25"/>
  <c r="E62" i="25"/>
  <c r="E60" i="25"/>
  <c r="E59" i="25"/>
  <c r="E63" i="25"/>
  <c r="E52" i="25"/>
  <c r="E51" i="25"/>
  <c r="E61" i="25"/>
  <c r="E55" i="25"/>
  <c r="E56" i="25"/>
  <c r="E50" i="25"/>
  <c r="E54" i="25"/>
  <c r="E57" i="25"/>
  <c r="E49" i="25"/>
  <c r="E48" i="25"/>
  <c r="E53" i="25"/>
  <c r="E47" i="25"/>
  <c r="E58" i="25"/>
  <c r="E44" i="25"/>
  <c r="E43" i="25"/>
  <c r="E42" i="25"/>
  <c r="E41" i="25"/>
  <c r="E40" i="25"/>
  <c r="E39" i="25"/>
  <c r="E38" i="25"/>
  <c r="E37" i="25"/>
  <c r="E36" i="25"/>
  <c r="Y465" i="7"/>
  <c r="X465" i="7"/>
  <c r="Y438" i="7"/>
  <c r="X438" i="7"/>
  <c r="Y411" i="7"/>
  <c r="X411" i="7"/>
  <c r="Y384" i="7"/>
  <c r="X384" i="7"/>
  <c r="Y357" i="7"/>
  <c r="X357" i="7"/>
  <c r="Y330" i="7"/>
  <c r="X330" i="7"/>
  <c r="Y303" i="7"/>
  <c r="X303" i="7"/>
  <c r="Y276" i="7"/>
  <c r="X276" i="7"/>
  <c r="Y249" i="7"/>
  <c r="X249" i="7"/>
  <c r="E28" i="25" s="1"/>
  <c r="Y222" i="7"/>
  <c r="X222" i="7"/>
  <c r="Y195" i="7"/>
  <c r="X195" i="7"/>
  <c r="Y168" i="7"/>
  <c r="X168" i="7"/>
  <c r="Y141" i="7"/>
  <c r="X141" i="7"/>
  <c r="Y114" i="7"/>
  <c r="X114" i="7"/>
  <c r="E29" i="25" s="1"/>
  <c r="Y84" i="7"/>
  <c r="X84" i="7"/>
  <c r="E31" i="25" s="1"/>
  <c r="Y55" i="7"/>
  <c r="X55" i="7"/>
  <c r="E32" i="25" s="1"/>
  <c r="X27" i="7"/>
  <c r="Y27" i="7"/>
  <c r="E34" i="25" s="1"/>
  <c r="E35" i="25"/>
  <c r="E33" i="25"/>
  <c r="E30" i="25"/>
  <c r="G20" i="25"/>
  <c r="G19" i="25"/>
  <c r="G18" i="25"/>
  <c r="G17" i="25"/>
  <c r="G16" i="25"/>
  <c r="G15" i="25"/>
  <c r="G14" i="25"/>
  <c r="G13" i="25"/>
  <c r="G12" i="25"/>
  <c r="G11" i="25"/>
  <c r="G10" i="25"/>
  <c r="C30" i="25" s="1"/>
  <c r="G9" i="25"/>
  <c r="C33" i="25" s="1"/>
  <c r="G8" i="25"/>
  <c r="C35" i="25" s="1"/>
  <c r="G7" i="25"/>
  <c r="G6" i="25"/>
  <c r="C31" i="25" s="1"/>
  <c r="G5" i="25"/>
  <c r="C32" i="25" s="1"/>
  <c r="G4" i="25"/>
  <c r="C28" i="25"/>
  <c r="C38" i="25"/>
  <c r="C36" i="25"/>
  <c r="C34" i="25"/>
  <c r="C37" i="25"/>
  <c r="C39" i="25"/>
  <c r="C29" i="25"/>
  <c r="C40" i="25"/>
  <c r="C41" i="25"/>
  <c r="C42" i="25"/>
  <c r="C43" i="25"/>
  <c r="C44" i="25"/>
  <c r="A19" i="25" l="1"/>
  <c r="C30" i="6"/>
  <c r="C31" i="6"/>
  <c r="F7" i="27"/>
  <c r="F7" i="28"/>
  <c r="F7" i="29"/>
  <c r="G7" i="29"/>
  <c r="G6" i="29"/>
  <c r="G5" i="29"/>
  <c r="F6" i="29"/>
  <c r="F5" i="29"/>
  <c r="D12" i="29" s="1"/>
  <c r="E7" i="29"/>
  <c r="E6" i="29"/>
  <c r="E5" i="29"/>
  <c r="D7" i="29"/>
  <c r="D6" i="29"/>
  <c r="D5" i="29"/>
  <c r="B7" i="29"/>
  <c r="B14" i="29" s="1"/>
  <c r="B6" i="29"/>
  <c r="B13" i="29" s="1"/>
  <c r="B5" i="29"/>
  <c r="B12" i="29" s="1"/>
  <c r="G6" i="28"/>
  <c r="H13" i="29" s="1"/>
  <c r="G7" i="28"/>
  <c r="G5" i="28"/>
  <c r="H12" i="29" s="1"/>
  <c r="F6" i="28"/>
  <c r="G13" i="29" s="1"/>
  <c r="F5" i="28"/>
  <c r="G12" i="29" s="1"/>
  <c r="E7" i="28"/>
  <c r="E6" i="28"/>
  <c r="F13" i="29" s="1"/>
  <c r="E5" i="28"/>
  <c r="F12" i="29" s="1"/>
  <c r="D7" i="28"/>
  <c r="D6" i="28"/>
  <c r="D5" i="28"/>
  <c r="B7" i="28"/>
  <c r="B13" i="28" s="1"/>
  <c r="B6" i="28"/>
  <c r="B12" i="28" s="1"/>
  <c r="B5" i="28"/>
  <c r="B11" i="28" s="1"/>
  <c r="M7" i="27"/>
  <c r="L7" i="27"/>
  <c r="K7" i="27"/>
  <c r="N6" i="27"/>
  <c r="M6" i="27"/>
  <c r="L6" i="27"/>
  <c r="K6" i="27"/>
  <c r="N5" i="27"/>
  <c r="I12" i="27" s="1"/>
  <c r="M5" i="27"/>
  <c r="H12" i="27" s="1"/>
  <c r="B122" i="6"/>
  <c r="J5" i="27" s="1"/>
  <c r="L5" i="27"/>
  <c r="G12" i="27" s="1"/>
  <c r="K5" i="27"/>
  <c r="J7" i="27"/>
  <c r="J6" i="27"/>
  <c r="G7" i="27"/>
  <c r="E7" i="27"/>
  <c r="D7" i="27"/>
  <c r="G6" i="27"/>
  <c r="F6" i="27"/>
  <c r="E6" i="27"/>
  <c r="D6" i="27"/>
  <c r="F5" i="27"/>
  <c r="E5" i="27"/>
  <c r="D5" i="27"/>
  <c r="E12" i="27" s="1"/>
  <c r="D411" i="26"/>
  <c r="B7" i="27"/>
  <c r="B6" i="27"/>
  <c r="B5" i="27"/>
  <c r="B12" i="27" s="1"/>
  <c r="F14" i="29" l="1"/>
  <c r="G18" i="27"/>
  <c r="C18" i="27"/>
  <c r="H14" i="29"/>
  <c r="G14" i="29"/>
  <c r="D12" i="27"/>
  <c r="C19" i="27"/>
  <c r="E13" i="27"/>
  <c r="E14" i="27"/>
  <c r="G13" i="27"/>
  <c r="I18" i="27"/>
  <c r="D18" i="27"/>
  <c r="E13" i="29"/>
  <c r="E12" i="29"/>
  <c r="E14" i="29"/>
  <c r="C14" i="29"/>
  <c r="D14" i="29"/>
  <c r="D13" i="29"/>
  <c r="C13" i="29"/>
  <c r="C12" i="29"/>
  <c r="C13" i="27"/>
  <c r="H18" i="27"/>
  <c r="E18" i="27"/>
  <c r="C12" i="27"/>
  <c r="B14" i="27"/>
  <c r="B19" i="27" s="1"/>
  <c r="B13" i="27"/>
  <c r="B18" i="27" s="1"/>
  <c r="E17" i="16"/>
  <c r="E5" i="16"/>
  <c r="Q412" i="26"/>
  <c r="P412" i="26"/>
  <c r="O412" i="26"/>
  <c r="N412" i="26"/>
  <c r="E412" i="26"/>
  <c r="D412" i="26"/>
  <c r="Q411" i="26"/>
  <c r="P411" i="26"/>
  <c r="O411" i="26"/>
  <c r="N411" i="26"/>
  <c r="M411" i="26"/>
  <c r="M412" i="26" s="1"/>
  <c r="L411" i="26"/>
  <c r="L412" i="26" s="1"/>
  <c r="I411" i="26"/>
  <c r="I412" i="26" s="1"/>
  <c r="H411" i="26"/>
  <c r="H412" i="26" s="1"/>
  <c r="G411" i="26"/>
  <c r="G412" i="26" s="1"/>
  <c r="F411" i="26"/>
  <c r="F412" i="26" s="1"/>
  <c r="E411" i="26"/>
  <c r="Q85" i="26"/>
  <c r="P85" i="26"/>
  <c r="O85" i="26"/>
  <c r="N85" i="26"/>
  <c r="M85" i="26"/>
  <c r="D85" i="26"/>
  <c r="Q84" i="26"/>
  <c r="P84" i="26"/>
  <c r="O84" i="26"/>
  <c r="N84" i="26"/>
  <c r="M84" i="26"/>
  <c r="L84" i="26"/>
  <c r="L85" i="26" s="1"/>
  <c r="I84" i="26"/>
  <c r="I85" i="26" s="1"/>
  <c r="H84" i="26"/>
  <c r="H85" i="26" s="1"/>
  <c r="G84" i="26"/>
  <c r="G85" i="26" s="1"/>
  <c r="F84" i="26"/>
  <c r="F85" i="26" s="1"/>
  <c r="E84" i="26"/>
  <c r="E85" i="26" s="1"/>
  <c r="D84" i="26"/>
  <c r="E3" i="16" l="1"/>
  <c r="H17" i="16" l="1"/>
  <c r="H5" i="16"/>
  <c r="CH85" i="26"/>
  <c r="CG85" i="26"/>
  <c r="CF85" i="26"/>
  <c r="CE85" i="26"/>
  <c r="CD85" i="26"/>
  <c r="BW85" i="26"/>
  <c r="BV85" i="26"/>
  <c r="BU85" i="26"/>
  <c r="CH84" i="26"/>
  <c r="CG84" i="26"/>
  <c r="CF84" i="26"/>
  <c r="CE84" i="26"/>
  <c r="CD84" i="26"/>
  <c r="CC84" i="26"/>
  <c r="CC85" i="26" s="1"/>
  <c r="BZ84" i="26"/>
  <c r="BZ85" i="26" s="1"/>
  <c r="BY84" i="26"/>
  <c r="BY85" i="26" s="1"/>
  <c r="BX84" i="26"/>
  <c r="BX85" i="26" s="1"/>
  <c r="BW84" i="26"/>
  <c r="BV84" i="26"/>
  <c r="BU84" i="26"/>
  <c r="CH412" i="26"/>
  <c r="CG412" i="26"/>
  <c r="CF412" i="26"/>
  <c r="CE412" i="26"/>
  <c r="CD412" i="26"/>
  <c r="BW412" i="26"/>
  <c r="BV412" i="26"/>
  <c r="BU412" i="26"/>
  <c r="CH411" i="26"/>
  <c r="CG411" i="26"/>
  <c r="CF411" i="26"/>
  <c r="CE411" i="26"/>
  <c r="CD411" i="26"/>
  <c r="CC411" i="26"/>
  <c r="CC412" i="26" s="1"/>
  <c r="BZ411" i="26"/>
  <c r="BZ412" i="26" s="1"/>
  <c r="BY411" i="26"/>
  <c r="BY412" i="26" s="1"/>
  <c r="BX411" i="26"/>
  <c r="BX412" i="26" s="1"/>
  <c r="BW411" i="26"/>
  <c r="BV411" i="26"/>
  <c r="BU411" i="26"/>
  <c r="H3" i="16" l="1"/>
  <c r="G17" i="16" l="1"/>
  <c r="G5" i="16"/>
  <c r="BI85" i="26"/>
  <c r="BH85" i="26"/>
  <c r="BG85" i="26"/>
  <c r="AZ85" i="26"/>
  <c r="AY85" i="26"/>
  <c r="AX85" i="26"/>
  <c r="BK84" i="26"/>
  <c r="BK85" i="26" s="1"/>
  <c r="BJ84" i="26"/>
  <c r="BJ85" i="26" s="1"/>
  <c r="BI84" i="26"/>
  <c r="BH84" i="26"/>
  <c r="BG84" i="26"/>
  <c r="BF84" i="26"/>
  <c r="BF85" i="26" s="1"/>
  <c r="BC84" i="26"/>
  <c r="BC85" i="26" s="1"/>
  <c r="BB84" i="26"/>
  <c r="BB85" i="26" s="1"/>
  <c r="BA84" i="26"/>
  <c r="BA85" i="26" s="1"/>
  <c r="AZ84" i="26"/>
  <c r="AY84" i="26"/>
  <c r="AX84" i="26"/>
  <c r="BK412" i="26"/>
  <c r="AZ412" i="26"/>
  <c r="BK411" i="26"/>
  <c r="BJ411" i="26"/>
  <c r="BJ412" i="26" s="1"/>
  <c r="BI411" i="26"/>
  <c r="BI412" i="26" s="1"/>
  <c r="BH411" i="26"/>
  <c r="BH412" i="26" s="1"/>
  <c r="BG411" i="26"/>
  <c r="BG412" i="26" s="1"/>
  <c r="BF411" i="26"/>
  <c r="BF412" i="26" s="1"/>
  <c r="BC411" i="26"/>
  <c r="BC412" i="26" s="1"/>
  <c r="BB411" i="26"/>
  <c r="BB412" i="26" s="1"/>
  <c r="BA411" i="26"/>
  <c r="BA412" i="26" s="1"/>
  <c r="AZ411" i="26"/>
  <c r="AY411" i="26"/>
  <c r="AY412" i="26" s="1"/>
  <c r="AX411" i="26"/>
  <c r="AX412" i="26" s="1"/>
  <c r="F17" i="16" l="1"/>
  <c r="AM412" i="26"/>
  <c r="AL412" i="26"/>
  <c r="AE412" i="26"/>
  <c r="AD412" i="26"/>
  <c r="AC412" i="26"/>
  <c r="AB412" i="26"/>
  <c r="AA412" i="26"/>
  <c r="AN411" i="26"/>
  <c r="AN412" i="26" s="1"/>
  <c r="AM411" i="26"/>
  <c r="AL411" i="26"/>
  <c r="AK411" i="26"/>
  <c r="AK412" i="26" s="1"/>
  <c r="AJ411" i="26"/>
  <c r="AJ412" i="26" s="1"/>
  <c r="AI411" i="26"/>
  <c r="AI412" i="26" s="1"/>
  <c r="AF411" i="26"/>
  <c r="AF412" i="26" s="1"/>
  <c r="AE411" i="26"/>
  <c r="AD411" i="26"/>
  <c r="AC411" i="26"/>
  <c r="AB411" i="26"/>
  <c r="AA411" i="26"/>
  <c r="F5" i="16" l="1"/>
  <c r="F27" i="7"/>
  <c r="AC27" i="26"/>
  <c r="F3" i="16" s="1"/>
  <c r="AM85" i="26"/>
  <c r="AL85" i="26"/>
  <c r="AJ85" i="26"/>
  <c r="AI85" i="26"/>
  <c r="AF85" i="26"/>
  <c r="AE85" i="26"/>
  <c r="AD85" i="26"/>
  <c r="AC85" i="26"/>
  <c r="AN84" i="26"/>
  <c r="AN85" i="26" s="1"/>
  <c r="AM84" i="26"/>
  <c r="AL84" i="26"/>
  <c r="AK84" i="26"/>
  <c r="AK85" i="26" s="1"/>
  <c r="AJ84" i="26"/>
  <c r="AI84" i="26"/>
  <c r="AF84" i="26"/>
  <c r="AE84" i="26"/>
  <c r="AD84" i="26"/>
  <c r="AC84" i="26"/>
  <c r="AB84" i="26"/>
  <c r="AB85" i="26" s="1"/>
  <c r="AA84" i="26"/>
  <c r="AA85" i="26" s="1"/>
  <c r="CH27" i="26" l="1"/>
  <c r="CH28" i="26" s="1"/>
  <c r="CG27" i="26"/>
  <c r="CG28" i="26" s="1"/>
  <c r="CF27" i="26"/>
  <c r="CF28" i="26" s="1"/>
  <c r="CE27" i="26"/>
  <c r="CE28" i="26" s="1"/>
  <c r="CD27" i="26"/>
  <c r="CD28" i="26" s="1"/>
  <c r="CC27" i="26"/>
  <c r="CC28" i="26" s="1"/>
  <c r="BZ27" i="26"/>
  <c r="BZ28" i="26" s="1"/>
  <c r="BY27" i="26"/>
  <c r="BY28" i="26" s="1"/>
  <c r="BX27" i="26"/>
  <c r="BX28" i="26" s="1"/>
  <c r="BW27" i="26"/>
  <c r="BW28" i="26" s="1"/>
  <c r="BV27" i="26"/>
  <c r="BV28" i="26" s="1"/>
  <c r="BU27" i="26"/>
  <c r="BU28" i="26" s="1"/>
  <c r="BI28" i="26"/>
  <c r="BH28" i="26"/>
  <c r="BG28" i="26"/>
  <c r="BK27" i="26"/>
  <c r="BK28" i="26" s="1"/>
  <c r="BJ27" i="26"/>
  <c r="BJ28" i="26" s="1"/>
  <c r="BI27" i="26"/>
  <c r="BH27" i="26"/>
  <c r="BG27" i="26"/>
  <c r="BF27" i="26"/>
  <c r="BF28" i="26" s="1"/>
  <c r="BC27" i="26"/>
  <c r="BC28" i="26" s="1"/>
  <c r="BB27" i="26"/>
  <c r="BB28" i="26" s="1"/>
  <c r="BA27" i="26"/>
  <c r="BA28" i="26" s="1"/>
  <c r="AZ27" i="26"/>
  <c r="AY27" i="26"/>
  <c r="AY28" i="26" s="1"/>
  <c r="AX27" i="26"/>
  <c r="AX28" i="26" s="1"/>
  <c r="P28" i="26"/>
  <c r="O28" i="26"/>
  <c r="N28" i="26"/>
  <c r="M28" i="26"/>
  <c r="Q27" i="26"/>
  <c r="Q28" i="26" s="1"/>
  <c r="P27" i="26"/>
  <c r="O27" i="26"/>
  <c r="N27" i="26"/>
  <c r="M27" i="26"/>
  <c r="L27" i="26"/>
  <c r="L28" i="26" s="1"/>
  <c r="I27" i="26"/>
  <c r="I28" i="26" s="1"/>
  <c r="H27" i="26"/>
  <c r="H28" i="26" s="1"/>
  <c r="G27" i="26"/>
  <c r="G28" i="26" s="1"/>
  <c r="F27" i="26"/>
  <c r="F28" i="26" s="1"/>
  <c r="E27" i="26"/>
  <c r="E28" i="26" s="1"/>
  <c r="D27" i="26"/>
  <c r="D28" i="26" s="1"/>
  <c r="B466" i="26"/>
  <c r="A466" i="26" s="1"/>
  <c r="B465" i="26"/>
  <c r="A465" i="26" s="1"/>
  <c r="B464" i="26"/>
  <c r="A464" i="26" s="1"/>
  <c r="B463" i="26"/>
  <c r="A463" i="26" s="1"/>
  <c r="B462" i="26"/>
  <c r="A462" i="26" s="1"/>
  <c r="B461" i="26"/>
  <c r="A461" i="26" s="1"/>
  <c r="B460" i="26"/>
  <c r="A460" i="26" s="1"/>
  <c r="B459" i="26"/>
  <c r="A459" i="26" s="1"/>
  <c r="B458" i="26"/>
  <c r="A458" i="26" s="1"/>
  <c r="B457" i="26"/>
  <c r="A457" i="26" s="1"/>
  <c r="B456" i="26"/>
  <c r="A456" i="26" s="1"/>
  <c r="B455" i="26"/>
  <c r="A455" i="26" s="1"/>
  <c r="B454" i="26"/>
  <c r="A454" i="26" s="1"/>
  <c r="B453" i="26"/>
  <c r="A453" i="26" s="1"/>
  <c r="B452" i="26"/>
  <c r="A452" i="26" s="1"/>
  <c r="B451" i="26"/>
  <c r="A451" i="26" s="1"/>
  <c r="B450" i="26"/>
  <c r="A450" i="26" s="1"/>
  <c r="B449" i="26"/>
  <c r="A449" i="26" s="1"/>
  <c r="B448" i="26"/>
  <c r="A448" i="26" s="1"/>
  <c r="B447" i="26"/>
  <c r="A447" i="26" s="1"/>
  <c r="B446" i="26"/>
  <c r="A446" i="26" s="1"/>
  <c r="B445" i="26"/>
  <c r="A445" i="26" s="1"/>
  <c r="B444" i="26"/>
  <c r="A444" i="26" s="1"/>
  <c r="B443" i="26"/>
  <c r="A443" i="26" s="1"/>
  <c r="B442" i="26"/>
  <c r="A442" i="26" s="1"/>
  <c r="B439" i="26"/>
  <c r="A439" i="26" s="1"/>
  <c r="B438" i="26"/>
  <c r="A438" i="26" s="1"/>
  <c r="B437" i="26"/>
  <c r="A437" i="26" s="1"/>
  <c r="B436" i="26"/>
  <c r="A436" i="26" s="1"/>
  <c r="B435" i="26"/>
  <c r="A435" i="26" s="1"/>
  <c r="B434" i="26"/>
  <c r="A434" i="26" s="1"/>
  <c r="B433" i="26"/>
  <c r="A433" i="26" s="1"/>
  <c r="B432" i="26"/>
  <c r="A432" i="26" s="1"/>
  <c r="B431" i="26"/>
  <c r="A431" i="26" s="1"/>
  <c r="B430" i="26"/>
  <c r="A430" i="26" s="1"/>
  <c r="B429" i="26"/>
  <c r="A429" i="26" s="1"/>
  <c r="B428" i="26"/>
  <c r="A428" i="26"/>
  <c r="B427" i="26"/>
  <c r="A427" i="26" s="1"/>
  <c r="B426" i="26"/>
  <c r="A426" i="26" s="1"/>
  <c r="B425" i="26"/>
  <c r="A425" i="26" s="1"/>
  <c r="B424" i="26"/>
  <c r="A424" i="26" s="1"/>
  <c r="B423" i="26"/>
  <c r="A423" i="26" s="1"/>
  <c r="B422" i="26"/>
  <c r="A422" i="26" s="1"/>
  <c r="B421" i="26"/>
  <c r="A421" i="26" s="1"/>
  <c r="B420" i="26"/>
  <c r="A420" i="26" s="1"/>
  <c r="B419" i="26"/>
  <c r="A419" i="26" s="1"/>
  <c r="B418" i="26"/>
  <c r="A418" i="26" s="1"/>
  <c r="B417" i="26"/>
  <c r="A417" i="26" s="1"/>
  <c r="B416" i="26"/>
  <c r="A416" i="26" s="1"/>
  <c r="B415" i="26"/>
  <c r="A415" i="26" s="1"/>
  <c r="B412" i="26"/>
  <c r="A412" i="26" s="1"/>
  <c r="B411" i="26"/>
  <c r="A411" i="26" s="1"/>
  <c r="B410" i="26"/>
  <c r="A410" i="26"/>
  <c r="B409" i="26"/>
  <c r="A409" i="26" s="1"/>
  <c r="B408" i="26"/>
  <c r="A408" i="26" s="1"/>
  <c r="B407" i="26"/>
  <c r="A407" i="26" s="1"/>
  <c r="B406" i="26"/>
  <c r="A406" i="26" s="1"/>
  <c r="B405" i="26"/>
  <c r="A405" i="26" s="1"/>
  <c r="B404" i="26"/>
  <c r="A404" i="26" s="1"/>
  <c r="B403" i="26"/>
  <c r="A403" i="26" s="1"/>
  <c r="B402" i="26"/>
  <c r="A402" i="26" s="1"/>
  <c r="B401" i="26"/>
  <c r="A401" i="26" s="1"/>
  <c r="B400" i="26"/>
  <c r="A400" i="26" s="1"/>
  <c r="B399" i="26"/>
  <c r="A399" i="26" s="1"/>
  <c r="B398" i="26"/>
  <c r="A398" i="26"/>
  <c r="B397" i="26"/>
  <c r="A397" i="26" s="1"/>
  <c r="B396" i="26"/>
  <c r="A396" i="26" s="1"/>
  <c r="B395" i="26"/>
  <c r="A395" i="26" s="1"/>
  <c r="B394" i="26"/>
  <c r="A394" i="26"/>
  <c r="B393" i="26"/>
  <c r="A393" i="26" s="1"/>
  <c r="B392" i="26"/>
  <c r="A392" i="26" s="1"/>
  <c r="B391" i="26"/>
  <c r="A391" i="26"/>
  <c r="B390" i="26"/>
  <c r="A390" i="26" s="1"/>
  <c r="B389" i="26"/>
  <c r="A389" i="26" s="1"/>
  <c r="B388" i="26"/>
  <c r="A388" i="26" s="1"/>
  <c r="B385" i="26"/>
  <c r="A385" i="26" s="1"/>
  <c r="B384" i="26"/>
  <c r="A384" i="26"/>
  <c r="B383" i="26"/>
  <c r="A383" i="26" s="1"/>
  <c r="B382" i="26"/>
  <c r="A382" i="26" s="1"/>
  <c r="B381" i="26"/>
  <c r="A381" i="26" s="1"/>
  <c r="B380" i="26"/>
  <c r="A380" i="26" s="1"/>
  <c r="B379" i="26"/>
  <c r="A379" i="26" s="1"/>
  <c r="B378" i="26"/>
  <c r="A378" i="26" s="1"/>
  <c r="B377" i="26"/>
  <c r="A377" i="26" s="1"/>
  <c r="B376" i="26"/>
  <c r="A376" i="26" s="1"/>
  <c r="B375" i="26"/>
  <c r="A375" i="26" s="1"/>
  <c r="B374" i="26"/>
  <c r="A374" i="26" s="1"/>
  <c r="B373" i="26"/>
  <c r="A373" i="26" s="1"/>
  <c r="B372" i="26"/>
  <c r="A372" i="26" s="1"/>
  <c r="B371" i="26"/>
  <c r="A371" i="26" s="1"/>
  <c r="B370" i="26"/>
  <c r="A370" i="26" s="1"/>
  <c r="B369" i="26"/>
  <c r="A369" i="26" s="1"/>
  <c r="B368" i="26"/>
  <c r="A368" i="26" s="1"/>
  <c r="B367" i="26"/>
  <c r="A367" i="26" s="1"/>
  <c r="B366" i="26"/>
  <c r="A366" i="26" s="1"/>
  <c r="B365" i="26"/>
  <c r="A365" i="26" s="1"/>
  <c r="B364" i="26"/>
  <c r="A364" i="26"/>
  <c r="B363" i="26"/>
  <c r="A363" i="26" s="1"/>
  <c r="B362" i="26"/>
  <c r="A362" i="26" s="1"/>
  <c r="B361" i="26"/>
  <c r="A361" i="26" s="1"/>
  <c r="B358" i="26"/>
  <c r="A358" i="26" s="1"/>
  <c r="B357" i="26"/>
  <c r="A357" i="26" s="1"/>
  <c r="B356" i="26"/>
  <c r="A356" i="26" s="1"/>
  <c r="B355" i="26"/>
  <c r="A355" i="26"/>
  <c r="B354" i="26"/>
  <c r="A354" i="26" s="1"/>
  <c r="B353" i="26"/>
  <c r="A353" i="26" s="1"/>
  <c r="B352" i="26"/>
  <c r="A352" i="26" s="1"/>
  <c r="B351" i="26"/>
  <c r="A351" i="26" s="1"/>
  <c r="B350" i="26"/>
  <c r="A350" i="26" s="1"/>
  <c r="B349" i="26"/>
  <c r="A349" i="26" s="1"/>
  <c r="B348" i="26"/>
  <c r="A348" i="26" s="1"/>
  <c r="B347" i="26"/>
  <c r="A347" i="26"/>
  <c r="B346" i="26"/>
  <c r="A346" i="26" s="1"/>
  <c r="B345" i="26"/>
  <c r="A345" i="26" s="1"/>
  <c r="B344" i="26"/>
  <c r="A344" i="26" s="1"/>
  <c r="B343" i="26"/>
  <c r="A343" i="26" s="1"/>
  <c r="B342" i="26"/>
  <c r="A342" i="26" s="1"/>
  <c r="B341" i="26"/>
  <c r="A341" i="26" s="1"/>
  <c r="B340" i="26"/>
  <c r="A340" i="26" s="1"/>
  <c r="B339" i="26"/>
  <c r="A339" i="26" s="1"/>
  <c r="B338" i="26"/>
  <c r="A338" i="26" s="1"/>
  <c r="B337" i="26"/>
  <c r="A337" i="26" s="1"/>
  <c r="B336" i="26"/>
  <c r="A336" i="26" s="1"/>
  <c r="B335" i="26"/>
  <c r="A335" i="26" s="1"/>
  <c r="B334" i="26"/>
  <c r="A334" i="26"/>
  <c r="B331" i="26"/>
  <c r="A331" i="26" s="1"/>
  <c r="B330" i="26"/>
  <c r="A330" i="26" s="1"/>
  <c r="B329" i="26"/>
  <c r="A329" i="26"/>
  <c r="B328" i="26"/>
  <c r="A328" i="26"/>
  <c r="B327" i="26"/>
  <c r="A327" i="26" s="1"/>
  <c r="B326" i="26"/>
  <c r="A326" i="26" s="1"/>
  <c r="B325" i="26"/>
  <c r="A325" i="26" s="1"/>
  <c r="B324" i="26"/>
  <c r="A324" i="26" s="1"/>
  <c r="B323" i="26"/>
  <c r="A323" i="26" s="1"/>
  <c r="B322" i="26"/>
  <c r="A322" i="26" s="1"/>
  <c r="B321" i="26"/>
  <c r="A321" i="26" s="1"/>
  <c r="B320" i="26"/>
  <c r="A320" i="26" s="1"/>
  <c r="B319" i="26"/>
  <c r="A319" i="26" s="1"/>
  <c r="B318" i="26"/>
  <c r="A318" i="26" s="1"/>
  <c r="B317" i="26"/>
  <c r="A317" i="26" s="1"/>
  <c r="B316" i="26"/>
  <c r="A316" i="26"/>
  <c r="B315" i="26"/>
  <c r="A315" i="26" s="1"/>
  <c r="B314" i="26"/>
  <c r="A314" i="26" s="1"/>
  <c r="B313" i="26"/>
  <c r="A313" i="26" s="1"/>
  <c r="B312" i="26"/>
  <c r="A312" i="26"/>
  <c r="B311" i="26"/>
  <c r="A311" i="26" s="1"/>
  <c r="B310" i="26"/>
  <c r="A310" i="26" s="1"/>
  <c r="B309" i="26"/>
  <c r="A309" i="26" s="1"/>
  <c r="B308" i="26"/>
  <c r="A308" i="26" s="1"/>
  <c r="B307" i="26"/>
  <c r="A307" i="26" s="1"/>
  <c r="B304" i="26"/>
  <c r="A304" i="26" s="1"/>
  <c r="B303" i="26"/>
  <c r="A303" i="26" s="1"/>
  <c r="B302" i="26"/>
  <c r="A302" i="26" s="1"/>
  <c r="B301" i="26"/>
  <c r="A301" i="26" s="1"/>
  <c r="B300" i="26"/>
  <c r="A300" i="26" s="1"/>
  <c r="B299" i="26"/>
  <c r="A299" i="26" s="1"/>
  <c r="B298" i="26"/>
  <c r="A298" i="26"/>
  <c r="B297" i="26"/>
  <c r="A297" i="26" s="1"/>
  <c r="B296" i="26"/>
  <c r="A296" i="26" s="1"/>
  <c r="B295" i="26"/>
  <c r="A295" i="26" s="1"/>
  <c r="B294" i="26"/>
  <c r="A294" i="26" s="1"/>
  <c r="B293" i="26"/>
  <c r="A293" i="26" s="1"/>
  <c r="B292" i="26"/>
  <c r="A292" i="26" s="1"/>
  <c r="B291" i="26"/>
  <c r="A291" i="26" s="1"/>
  <c r="B290" i="26"/>
  <c r="A290" i="26"/>
  <c r="B289" i="26"/>
  <c r="A289" i="26" s="1"/>
  <c r="B288" i="26"/>
  <c r="A288" i="26" s="1"/>
  <c r="B287" i="26"/>
  <c r="A287" i="26" s="1"/>
  <c r="B286" i="26"/>
  <c r="A286" i="26" s="1"/>
  <c r="B285" i="26"/>
  <c r="A285" i="26" s="1"/>
  <c r="B284" i="26"/>
  <c r="A284" i="26" s="1"/>
  <c r="B283" i="26"/>
  <c r="A283" i="26" s="1"/>
  <c r="B282" i="26"/>
  <c r="A282" i="26" s="1"/>
  <c r="B281" i="26"/>
  <c r="A281" i="26" s="1"/>
  <c r="B280" i="26"/>
  <c r="A280" i="26" s="1"/>
  <c r="B277" i="26"/>
  <c r="A277" i="26" s="1"/>
  <c r="B276" i="26"/>
  <c r="A276" i="26"/>
  <c r="B275" i="26"/>
  <c r="A275" i="26" s="1"/>
  <c r="B274" i="26"/>
  <c r="A274" i="26" s="1"/>
  <c r="B273" i="26"/>
  <c r="A273" i="26" s="1"/>
  <c r="B272" i="26"/>
  <c r="A272" i="26"/>
  <c r="B271" i="26"/>
  <c r="A271" i="26" s="1"/>
  <c r="B270" i="26"/>
  <c r="A270" i="26" s="1"/>
  <c r="B269" i="26"/>
  <c r="A269" i="26" s="1"/>
  <c r="B268" i="26"/>
  <c r="A268" i="26" s="1"/>
  <c r="B267" i="26"/>
  <c r="A267" i="26" s="1"/>
  <c r="B266" i="26"/>
  <c r="A266" i="26" s="1"/>
  <c r="B265" i="26"/>
  <c r="A265" i="26" s="1"/>
  <c r="B264" i="26"/>
  <c r="A264" i="26"/>
  <c r="B263" i="26"/>
  <c r="A263" i="26" s="1"/>
  <c r="B262" i="26"/>
  <c r="A262" i="26" s="1"/>
  <c r="B261" i="26"/>
  <c r="A261" i="26" s="1"/>
  <c r="B260" i="26"/>
  <c r="A260" i="26" s="1"/>
  <c r="B259" i="26"/>
  <c r="A259" i="26" s="1"/>
  <c r="B258" i="26"/>
  <c r="A258" i="26" s="1"/>
  <c r="B257" i="26"/>
  <c r="A257" i="26" s="1"/>
  <c r="B256" i="26"/>
  <c r="A256" i="26" s="1"/>
  <c r="B255" i="26"/>
  <c r="A255" i="26" s="1"/>
  <c r="B254" i="26"/>
  <c r="A254" i="26" s="1"/>
  <c r="B253" i="26"/>
  <c r="A253" i="26"/>
  <c r="A252" i="26"/>
  <c r="A251" i="26"/>
  <c r="B250" i="26"/>
  <c r="A250" i="26" s="1"/>
  <c r="B249" i="26"/>
  <c r="A249" i="26" s="1"/>
  <c r="B248" i="26"/>
  <c r="A248" i="26" s="1"/>
  <c r="B247" i="26"/>
  <c r="A247" i="26" s="1"/>
  <c r="B246" i="26"/>
  <c r="A246" i="26" s="1"/>
  <c r="B245" i="26"/>
  <c r="A245" i="26" s="1"/>
  <c r="B244" i="26"/>
  <c r="A244" i="26" s="1"/>
  <c r="B243" i="26"/>
  <c r="A243" i="26" s="1"/>
  <c r="B242" i="26"/>
  <c r="A242" i="26" s="1"/>
  <c r="B241" i="26"/>
  <c r="A241" i="26" s="1"/>
  <c r="B240" i="26"/>
  <c r="A240" i="26" s="1"/>
  <c r="B239" i="26"/>
  <c r="A239" i="26" s="1"/>
  <c r="B238" i="26"/>
  <c r="A238" i="26" s="1"/>
  <c r="B237" i="26"/>
  <c r="A237" i="26" s="1"/>
  <c r="B236" i="26"/>
  <c r="A236" i="26" s="1"/>
  <c r="B235" i="26"/>
  <c r="A235" i="26" s="1"/>
  <c r="B234" i="26"/>
  <c r="A234" i="26" s="1"/>
  <c r="B233" i="26"/>
  <c r="A233" i="26" s="1"/>
  <c r="B232" i="26"/>
  <c r="A232" i="26" s="1"/>
  <c r="B231" i="26"/>
  <c r="A231" i="26" s="1"/>
  <c r="B230" i="26"/>
  <c r="A230" i="26" s="1"/>
  <c r="B229" i="26"/>
  <c r="A229" i="26" s="1"/>
  <c r="B228" i="26"/>
  <c r="A228" i="26"/>
  <c r="B227" i="26"/>
  <c r="A227" i="26" s="1"/>
  <c r="B226" i="26"/>
  <c r="A226" i="26" s="1"/>
  <c r="A225" i="26"/>
  <c r="A224" i="26"/>
  <c r="B223" i="26"/>
  <c r="A223" i="26" s="1"/>
  <c r="B222" i="26"/>
  <c r="A222" i="26" s="1"/>
  <c r="B221" i="26"/>
  <c r="A221" i="26" s="1"/>
  <c r="B220" i="26"/>
  <c r="A220" i="26" s="1"/>
  <c r="B219" i="26"/>
  <c r="A219" i="26"/>
  <c r="B218" i="26"/>
  <c r="A218" i="26" s="1"/>
  <c r="B217" i="26"/>
  <c r="A217" i="26" s="1"/>
  <c r="B216" i="26"/>
  <c r="A216" i="26" s="1"/>
  <c r="B215" i="26"/>
  <c r="A215" i="26" s="1"/>
  <c r="B214" i="26"/>
  <c r="A214" i="26" s="1"/>
  <c r="B213" i="26"/>
  <c r="A213" i="26" s="1"/>
  <c r="B212" i="26"/>
  <c r="A212" i="26" s="1"/>
  <c r="B211" i="26"/>
  <c r="A211" i="26" s="1"/>
  <c r="B210" i="26"/>
  <c r="A210" i="26" s="1"/>
  <c r="B209" i="26"/>
  <c r="A209" i="26" s="1"/>
  <c r="B208" i="26"/>
  <c r="A208" i="26" s="1"/>
  <c r="B207" i="26"/>
  <c r="A207" i="26" s="1"/>
  <c r="B206" i="26"/>
  <c r="A206" i="26"/>
  <c r="B205" i="26"/>
  <c r="A205" i="26" s="1"/>
  <c r="B204" i="26"/>
  <c r="A204" i="26" s="1"/>
  <c r="B203" i="26"/>
  <c r="A203" i="26" s="1"/>
  <c r="B202" i="26"/>
  <c r="A202" i="26"/>
  <c r="B201" i="26"/>
  <c r="A201" i="26" s="1"/>
  <c r="B200" i="26"/>
  <c r="A200" i="26" s="1"/>
  <c r="B199" i="26"/>
  <c r="A199" i="26" s="1"/>
  <c r="A198" i="26"/>
  <c r="A197" i="26"/>
  <c r="B196" i="26"/>
  <c r="A196" i="26" s="1"/>
  <c r="B195" i="26"/>
  <c r="A195" i="26" s="1"/>
  <c r="B194" i="26"/>
  <c r="A194" i="26" s="1"/>
  <c r="B193" i="26"/>
  <c r="A193" i="26"/>
  <c r="B192" i="26"/>
  <c r="A192" i="26" s="1"/>
  <c r="B191" i="26"/>
  <c r="A191" i="26" s="1"/>
  <c r="B190" i="26"/>
  <c r="A190" i="26" s="1"/>
  <c r="B189" i="26"/>
  <c r="A189" i="26" s="1"/>
  <c r="B188" i="26"/>
  <c r="A188" i="26" s="1"/>
  <c r="B187" i="26"/>
  <c r="A187" i="26" s="1"/>
  <c r="B186" i="26"/>
  <c r="A186" i="26"/>
  <c r="B185" i="26"/>
  <c r="A185" i="26" s="1"/>
  <c r="B184" i="26"/>
  <c r="A184" i="26" s="1"/>
  <c r="B183" i="26"/>
  <c r="A183" i="26" s="1"/>
  <c r="B182" i="26"/>
  <c r="A182" i="26" s="1"/>
  <c r="B181" i="26"/>
  <c r="A181" i="26" s="1"/>
  <c r="B180" i="26"/>
  <c r="A180" i="26" s="1"/>
  <c r="B179" i="26"/>
  <c r="A179" i="26" s="1"/>
  <c r="B178" i="26"/>
  <c r="A178" i="26" s="1"/>
  <c r="B177" i="26"/>
  <c r="A177" i="26" s="1"/>
  <c r="B176" i="26"/>
  <c r="A176" i="26" s="1"/>
  <c r="B175" i="26"/>
  <c r="A175" i="26" s="1"/>
  <c r="B174" i="26"/>
  <c r="A174" i="26" s="1"/>
  <c r="B173" i="26"/>
  <c r="A173" i="26" s="1"/>
  <c r="B172" i="26"/>
  <c r="A172" i="26" s="1"/>
  <c r="A171" i="26"/>
  <c r="A170" i="26"/>
  <c r="B169" i="26"/>
  <c r="A169" i="26" s="1"/>
  <c r="B168" i="26"/>
  <c r="A168" i="26" s="1"/>
  <c r="B167" i="26"/>
  <c r="A167" i="26" s="1"/>
  <c r="B166" i="26"/>
  <c r="A166" i="26" s="1"/>
  <c r="B165" i="26"/>
  <c r="A165" i="26" s="1"/>
  <c r="B164" i="26"/>
  <c r="A164" i="26" s="1"/>
  <c r="B163" i="26"/>
  <c r="A163" i="26" s="1"/>
  <c r="B162" i="26"/>
  <c r="A162" i="26" s="1"/>
  <c r="B161" i="26"/>
  <c r="A161" i="26" s="1"/>
  <c r="B160" i="26"/>
  <c r="A160" i="26"/>
  <c r="B159" i="26"/>
  <c r="A159" i="26" s="1"/>
  <c r="B158" i="26"/>
  <c r="A158" i="26" s="1"/>
  <c r="B157" i="26"/>
  <c r="A157" i="26" s="1"/>
  <c r="B156" i="26"/>
  <c r="A156" i="26" s="1"/>
  <c r="B155" i="26"/>
  <c r="A155" i="26" s="1"/>
  <c r="B154" i="26"/>
  <c r="A154" i="26" s="1"/>
  <c r="B153" i="26"/>
  <c r="A153" i="26"/>
  <c r="B152" i="26"/>
  <c r="A152" i="26" s="1"/>
  <c r="B151" i="26"/>
  <c r="A151" i="26" s="1"/>
  <c r="B150" i="26"/>
  <c r="A150" i="26" s="1"/>
  <c r="B149" i="26"/>
  <c r="A149" i="26" s="1"/>
  <c r="B148" i="26"/>
  <c r="A148" i="26" s="1"/>
  <c r="B147" i="26"/>
  <c r="A147" i="26" s="1"/>
  <c r="B146" i="26"/>
  <c r="A146" i="26" s="1"/>
  <c r="B145" i="26"/>
  <c r="A145" i="26" s="1"/>
  <c r="A144" i="26"/>
  <c r="A143" i="26"/>
  <c r="A142" i="26"/>
  <c r="A141" i="26"/>
  <c r="B140" i="26"/>
  <c r="A140" i="26" s="1"/>
  <c r="B139" i="26"/>
  <c r="A139" i="26" s="1"/>
  <c r="B138" i="26"/>
  <c r="A138" i="26" s="1"/>
  <c r="B137" i="26"/>
  <c r="A137" i="26" s="1"/>
  <c r="B136" i="26"/>
  <c r="A136" i="26" s="1"/>
  <c r="B135" i="26"/>
  <c r="A135" i="26" s="1"/>
  <c r="B134" i="26"/>
  <c r="A134" i="26" s="1"/>
  <c r="B133" i="26"/>
  <c r="A133" i="26" s="1"/>
  <c r="B132" i="26"/>
  <c r="A132" i="26" s="1"/>
  <c r="B131" i="26"/>
  <c r="A131" i="26" s="1"/>
  <c r="B130" i="26"/>
  <c r="A130" i="26" s="1"/>
  <c r="B129" i="26"/>
  <c r="A129" i="26" s="1"/>
  <c r="B128" i="26"/>
  <c r="A128" i="26" s="1"/>
  <c r="B127" i="26"/>
  <c r="A127" i="26" s="1"/>
  <c r="B126" i="26"/>
  <c r="A126" i="26" s="1"/>
  <c r="B125" i="26"/>
  <c r="A125" i="26" s="1"/>
  <c r="B124" i="26"/>
  <c r="A124" i="26" s="1"/>
  <c r="B123" i="26"/>
  <c r="A123" i="26" s="1"/>
  <c r="B122" i="26"/>
  <c r="A122" i="26"/>
  <c r="B121" i="26"/>
  <c r="A121" i="26" s="1"/>
  <c r="B120" i="26"/>
  <c r="A120" i="26" s="1"/>
  <c r="B119" i="26"/>
  <c r="A119" i="26" s="1"/>
  <c r="B118" i="26"/>
  <c r="A118" i="26"/>
  <c r="A117" i="26"/>
  <c r="A116" i="26"/>
  <c r="B115" i="26"/>
  <c r="A115" i="26" s="1"/>
  <c r="B114" i="26"/>
  <c r="A114" i="26" s="1"/>
  <c r="B113" i="26"/>
  <c r="A113" i="26" s="1"/>
  <c r="B112" i="26"/>
  <c r="A112" i="26" s="1"/>
  <c r="B111" i="26"/>
  <c r="A111" i="26" s="1"/>
  <c r="B110" i="26"/>
  <c r="A110" i="26" s="1"/>
  <c r="B109" i="26"/>
  <c r="A109" i="26"/>
  <c r="B108" i="26"/>
  <c r="A108" i="26" s="1"/>
  <c r="B107" i="26"/>
  <c r="A107" i="26" s="1"/>
  <c r="B106" i="26"/>
  <c r="A106" i="26" s="1"/>
  <c r="B105" i="26"/>
  <c r="A105" i="26"/>
  <c r="B104" i="26"/>
  <c r="A104" i="26" s="1"/>
  <c r="B103" i="26"/>
  <c r="A103" i="26" s="1"/>
  <c r="B102" i="26"/>
  <c r="A102" i="26" s="1"/>
  <c r="B101" i="26"/>
  <c r="A101" i="26" s="1"/>
  <c r="B100" i="26"/>
  <c r="A100" i="26" s="1"/>
  <c r="B99" i="26"/>
  <c r="A99" i="26" s="1"/>
  <c r="B98" i="26"/>
  <c r="A98" i="26" s="1"/>
  <c r="B97" i="26"/>
  <c r="A97" i="26"/>
  <c r="B96" i="26"/>
  <c r="A96" i="26" s="1"/>
  <c r="B95" i="26"/>
  <c r="A95" i="26" s="1"/>
  <c r="B94" i="26"/>
  <c r="A94" i="26" s="1"/>
  <c r="B93" i="26"/>
  <c r="A93" i="26"/>
  <c r="B92" i="26"/>
  <c r="A92" i="26" s="1"/>
  <c r="B91" i="26"/>
  <c r="A91" i="26" s="1"/>
  <c r="A90" i="26"/>
  <c r="A89" i="26"/>
  <c r="A88" i="26"/>
  <c r="A87" i="26"/>
  <c r="A86" i="26"/>
  <c r="B85" i="26"/>
  <c r="A85" i="26" s="1"/>
  <c r="B84" i="26"/>
  <c r="A84" i="26" s="1"/>
  <c r="B83" i="26"/>
  <c r="A83" i="26" s="1"/>
  <c r="B82" i="26"/>
  <c r="A82" i="26" s="1"/>
  <c r="B81" i="26"/>
  <c r="A81" i="26" s="1"/>
  <c r="B80" i="26"/>
  <c r="A80" i="26" s="1"/>
  <c r="B79" i="26"/>
  <c r="A79" i="26" s="1"/>
  <c r="B78" i="26"/>
  <c r="A78" i="26" s="1"/>
  <c r="B77" i="26"/>
  <c r="A77" i="26" s="1"/>
  <c r="B76" i="26"/>
  <c r="A76" i="26"/>
  <c r="B75" i="26"/>
  <c r="A75" i="26" s="1"/>
  <c r="B74" i="26"/>
  <c r="A74" i="26" s="1"/>
  <c r="B73" i="26"/>
  <c r="A73" i="26" s="1"/>
  <c r="B72" i="26"/>
  <c r="A72" i="26" s="1"/>
  <c r="B71" i="26"/>
  <c r="A71" i="26"/>
  <c r="B70" i="26"/>
  <c r="A70" i="26" s="1"/>
  <c r="B69" i="26"/>
  <c r="A69" i="26" s="1"/>
  <c r="B68" i="26"/>
  <c r="A68" i="26" s="1"/>
  <c r="B67" i="26"/>
  <c r="A67" i="26" s="1"/>
  <c r="B66" i="26"/>
  <c r="A66" i="26" s="1"/>
  <c r="B65" i="26"/>
  <c r="A65" i="26" s="1"/>
  <c r="B64" i="26"/>
  <c r="A64" i="26" s="1"/>
  <c r="B63" i="26"/>
  <c r="A63" i="26" s="1"/>
  <c r="B62" i="26"/>
  <c r="A62" i="26" s="1"/>
  <c r="B61" i="26"/>
  <c r="A61" i="26" s="1"/>
  <c r="A60" i="26"/>
  <c r="A59" i="26"/>
  <c r="A58" i="26"/>
  <c r="A57" i="26"/>
  <c r="B56" i="26"/>
  <c r="A56" i="26" s="1"/>
  <c r="B55" i="26"/>
  <c r="A55" i="26" s="1"/>
  <c r="B54" i="26"/>
  <c r="A54" i="26" s="1"/>
  <c r="B53" i="26"/>
  <c r="A53" i="26" s="1"/>
  <c r="B52" i="26"/>
  <c r="A52" i="26" s="1"/>
  <c r="B51" i="26"/>
  <c r="A51" i="26"/>
  <c r="B50" i="26"/>
  <c r="A50" i="26"/>
  <c r="B49" i="26"/>
  <c r="A49" i="26" s="1"/>
  <c r="B48" i="26"/>
  <c r="A48" i="26" s="1"/>
  <c r="B47" i="26"/>
  <c r="A47" i="26" s="1"/>
  <c r="B46" i="26"/>
  <c r="A46" i="26"/>
  <c r="B45" i="26"/>
  <c r="A45" i="26"/>
  <c r="B44" i="26"/>
  <c r="A44" i="26" s="1"/>
  <c r="B43" i="26"/>
  <c r="A43" i="26" s="1"/>
  <c r="B42" i="26"/>
  <c r="A42" i="26" s="1"/>
  <c r="B41" i="26"/>
  <c r="A41" i="26" s="1"/>
  <c r="B40" i="26"/>
  <c r="A40" i="26" s="1"/>
  <c r="B39" i="26"/>
  <c r="A39" i="26"/>
  <c r="B38" i="26"/>
  <c r="A38" i="26"/>
  <c r="B37" i="26"/>
  <c r="A37" i="26" s="1"/>
  <c r="B36" i="26"/>
  <c r="A36" i="26" s="1"/>
  <c r="B35" i="26"/>
  <c r="A35" i="26"/>
  <c r="B34" i="26"/>
  <c r="A34" i="26"/>
  <c r="B33" i="26"/>
  <c r="A33" i="26" s="1"/>
  <c r="B32" i="26"/>
  <c r="A32" i="26" s="1"/>
  <c r="A31" i="26"/>
  <c r="A30" i="26"/>
  <c r="A29" i="26"/>
  <c r="B28" i="26"/>
  <c r="A28" i="26" s="1"/>
  <c r="B27" i="26"/>
  <c r="A27" i="26"/>
  <c r="B26" i="26"/>
  <c r="A26" i="26" s="1"/>
  <c r="B25" i="26"/>
  <c r="A25" i="26" s="1"/>
  <c r="B24" i="26"/>
  <c r="A24" i="26"/>
  <c r="B23" i="26"/>
  <c r="A23" i="26"/>
  <c r="B22" i="26"/>
  <c r="A22" i="26" s="1"/>
  <c r="B21" i="26"/>
  <c r="A21" i="26" s="1"/>
  <c r="B20" i="26"/>
  <c r="A20" i="26" s="1"/>
  <c r="B19" i="26"/>
  <c r="A19" i="26" s="1"/>
  <c r="B18" i="26"/>
  <c r="A18" i="26" s="1"/>
  <c r="B17" i="26"/>
  <c r="A17" i="26" s="1"/>
  <c r="B16" i="26"/>
  <c r="A16" i="26" s="1"/>
  <c r="B15" i="26"/>
  <c r="A15" i="26"/>
  <c r="B14" i="26"/>
  <c r="A14" i="26" s="1"/>
  <c r="B13" i="26"/>
  <c r="A13" i="26" s="1"/>
  <c r="B12" i="26"/>
  <c r="A12" i="26" s="1"/>
  <c r="B11" i="26"/>
  <c r="A11" i="26"/>
  <c r="B10" i="26"/>
  <c r="A10" i="26" s="1"/>
  <c r="B9" i="26"/>
  <c r="A9" i="26" s="1"/>
  <c r="B8" i="26"/>
  <c r="A8" i="26" s="1"/>
  <c r="B7" i="26"/>
  <c r="A7" i="26" s="1"/>
  <c r="B6" i="26"/>
  <c r="A6" i="26" s="1"/>
  <c r="B5" i="26"/>
  <c r="A5" i="26" s="1"/>
  <c r="B4" i="26"/>
  <c r="A4" i="26" s="1"/>
  <c r="D13" i="27" l="1"/>
  <c r="C14" i="27"/>
  <c r="D14" i="27"/>
  <c r="G14" i="27"/>
  <c r="H14" i="27"/>
  <c r="I14" i="27"/>
  <c r="AZ28" i="26"/>
  <c r="G3" i="16"/>
  <c r="H13" i="27"/>
  <c r="G19" i="27"/>
  <c r="I13" i="27"/>
  <c r="H19" i="27"/>
  <c r="D19" i="27"/>
  <c r="I19" i="27"/>
  <c r="E19" i="27"/>
  <c r="AB27" i="26" l="1"/>
  <c r="AC28" i="26"/>
  <c r="AD27" i="26"/>
  <c r="AE27" i="26"/>
  <c r="AE28" i="26" s="1"/>
  <c r="AF27" i="26"/>
  <c r="AF28" i="26" s="1"/>
  <c r="AI27" i="26"/>
  <c r="AI28" i="26" s="1"/>
  <c r="AJ27" i="26"/>
  <c r="AK27" i="26"/>
  <c r="AK28" i="26" s="1"/>
  <c r="AL27" i="26"/>
  <c r="AL28" i="26" s="1"/>
  <c r="AM27" i="26"/>
  <c r="AM28" i="26" s="1"/>
  <c r="AN27" i="26"/>
  <c r="AN28" i="26" s="1"/>
  <c r="AB28" i="26"/>
  <c r="AD28" i="26"/>
  <c r="AJ28" i="26"/>
  <c r="AA27" i="26"/>
  <c r="AA28" i="26" s="1"/>
  <c r="D27" i="7"/>
  <c r="C25" i="24"/>
  <c r="C5" i="24"/>
  <c r="D5" i="24"/>
  <c r="E5" i="24"/>
  <c r="C9" i="24"/>
  <c r="D9" i="24"/>
  <c r="E9" i="24"/>
  <c r="G103" i="6"/>
  <c r="A20" i="20"/>
  <c r="R122" i="6"/>
  <c r="R123" i="6"/>
  <c r="R124" i="6"/>
  <c r="R125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98" i="6"/>
  <c r="AJ42" i="6"/>
  <c r="AJ43" i="6"/>
  <c r="AJ44" i="6"/>
  <c r="AJ45" i="6"/>
  <c r="AJ46" i="6"/>
  <c r="AJ47" i="6"/>
  <c r="AJ48" i="6"/>
  <c r="AJ65" i="6" s="1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6" i="6" s="1"/>
  <c r="AJ41" i="6"/>
  <c r="R66" i="6"/>
  <c r="R42" i="6"/>
  <c r="R43" i="6"/>
  <c r="R44" i="6"/>
  <c r="R45" i="6"/>
  <c r="R46" i="6"/>
  <c r="R47" i="6"/>
  <c r="R48" i="6"/>
  <c r="R65" i="6" s="1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41" i="6"/>
  <c r="AJ29" i="6"/>
  <c r="AJ30" i="6" s="1"/>
  <c r="AJ31" i="6" s="1"/>
  <c r="AJ32" i="6"/>
  <c r="AJ34" i="6" s="1"/>
  <c r="AJ33" i="6"/>
  <c r="AJ35" i="6" s="1"/>
  <c r="AJ36" i="6"/>
  <c r="R29" i="6"/>
  <c r="R30" i="6"/>
  <c r="R31" i="6" s="1"/>
  <c r="R32" i="6"/>
  <c r="R33" i="6"/>
  <c r="R34" i="6"/>
  <c r="R35" i="6"/>
  <c r="R3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6" i="6"/>
  <c r="R96" i="6"/>
  <c r="AJ39" i="6"/>
  <c r="R39" i="6"/>
  <c r="AJ3" i="6"/>
  <c r="R3" i="6"/>
  <c r="T30" i="22"/>
  <c r="T14" i="22"/>
  <c r="T13" i="22"/>
  <c r="T12" i="22"/>
  <c r="T11" i="22"/>
  <c r="T10" i="22"/>
  <c r="T9" i="22"/>
  <c r="T8" i="22"/>
  <c r="T7" i="22"/>
  <c r="T6" i="22"/>
  <c r="T5" i="22"/>
  <c r="T4" i="22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784" i="8"/>
  <c r="T2" i="22"/>
  <c r="AL2" i="22" s="1"/>
  <c r="AB830" i="8"/>
  <c r="AB829" i="8"/>
  <c r="AB828" i="8"/>
  <c r="AB825" i="8"/>
  <c r="AB824" i="8"/>
  <c r="AB823" i="8"/>
  <c r="AB820" i="8"/>
  <c r="AB819" i="8"/>
  <c r="AB818" i="8"/>
  <c r="AB817" i="8"/>
  <c r="AB816" i="8"/>
  <c r="AB815" i="8"/>
  <c r="AB814" i="8"/>
  <c r="AB813" i="8"/>
  <c r="AB812" i="8"/>
  <c r="AB811" i="8"/>
  <c r="AB810" i="8"/>
  <c r="AB807" i="8"/>
  <c r="AB806" i="8"/>
  <c r="AB805" i="8"/>
  <c r="AB804" i="8"/>
  <c r="AB803" i="8"/>
  <c r="AB802" i="8"/>
  <c r="AB801" i="8"/>
  <c r="AB800" i="8"/>
  <c r="AB799" i="8"/>
  <c r="AB798" i="8"/>
  <c r="AB797" i="8"/>
  <c r="AB793" i="8"/>
  <c r="AB792" i="8"/>
  <c r="AB791" i="8"/>
  <c r="AB790" i="8"/>
  <c r="AB789" i="8"/>
  <c r="AB788" i="8"/>
  <c r="AB787" i="8"/>
  <c r="AB786" i="8"/>
  <c r="AB785" i="8"/>
  <c r="B19" i="16"/>
  <c r="B443" i="7"/>
  <c r="B444" i="7"/>
  <c r="B445" i="7"/>
  <c r="A445" i="7" s="1"/>
  <c r="B446" i="7"/>
  <c r="A446" i="7" s="1"/>
  <c r="B447" i="7"/>
  <c r="A447" i="7" s="1"/>
  <c r="B448" i="7"/>
  <c r="A448" i="7" s="1"/>
  <c r="B449" i="7"/>
  <c r="B450" i="7"/>
  <c r="A450" i="7" s="1"/>
  <c r="B451" i="7"/>
  <c r="A451" i="7" s="1"/>
  <c r="B452" i="7"/>
  <c r="A452" i="7" s="1"/>
  <c r="B453" i="7"/>
  <c r="B454" i="7"/>
  <c r="B455" i="7"/>
  <c r="A455" i="7" s="1"/>
  <c r="B456" i="7"/>
  <c r="A456" i="7" s="1"/>
  <c r="B457" i="7"/>
  <c r="A457" i="7" s="1"/>
  <c r="B458" i="7"/>
  <c r="A458" i="7" s="1"/>
  <c r="B459" i="7"/>
  <c r="B460" i="7"/>
  <c r="B461" i="7"/>
  <c r="A461" i="7" s="1"/>
  <c r="B462" i="7"/>
  <c r="A462" i="7" s="1"/>
  <c r="B463" i="7"/>
  <c r="A463" i="7" s="1"/>
  <c r="B464" i="7"/>
  <c r="A464" i="7" s="1"/>
  <c r="B465" i="7"/>
  <c r="B466" i="7"/>
  <c r="A466" i="7" s="1"/>
  <c r="B442" i="7"/>
  <c r="A442" i="7" s="1"/>
  <c r="O466" i="7"/>
  <c r="N466" i="7"/>
  <c r="M466" i="7"/>
  <c r="L466" i="7"/>
  <c r="I466" i="7"/>
  <c r="F466" i="7"/>
  <c r="E466" i="7"/>
  <c r="D466" i="7"/>
  <c r="Q465" i="7"/>
  <c r="Q466" i="7" s="1"/>
  <c r="P465" i="7"/>
  <c r="P466" i="7" s="1"/>
  <c r="O465" i="7"/>
  <c r="N465" i="7"/>
  <c r="M465" i="7"/>
  <c r="L465" i="7"/>
  <c r="I465" i="7"/>
  <c r="H465" i="7"/>
  <c r="H466" i="7" s="1"/>
  <c r="G465" i="7"/>
  <c r="G466" i="7" s="1"/>
  <c r="F465" i="7"/>
  <c r="E465" i="7"/>
  <c r="D465" i="7"/>
  <c r="A465" i="7"/>
  <c r="A460" i="7"/>
  <c r="A459" i="7"/>
  <c r="A454" i="7"/>
  <c r="A453" i="7"/>
  <c r="A449" i="7"/>
  <c r="A444" i="7"/>
  <c r="A443" i="7"/>
  <c r="F5" i="24" l="1"/>
  <c r="F9" i="24"/>
  <c r="A40" i="20"/>
  <c r="A59" i="20" s="1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4" i="25"/>
  <c r="N438" i="7" l="1"/>
  <c r="Q123" i="6" l="1"/>
  <c r="P123" i="6"/>
  <c r="O123" i="6"/>
  <c r="N123" i="6"/>
  <c r="M123" i="6"/>
  <c r="L123" i="6"/>
  <c r="K123" i="6"/>
  <c r="I123" i="6"/>
  <c r="H123" i="6"/>
  <c r="G123" i="6"/>
  <c r="E123" i="6"/>
  <c r="D123" i="6"/>
  <c r="C123" i="6"/>
  <c r="B123" i="6"/>
  <c r="C122" i="6"/>
  <c r="D122" i="6"/>
  <c r="E122" i="6"/>
  <c r="G122" i="6"/>
  <c r="H122" i="6"/>
  <c r="I122" i="6"/>
  <c r="K122" i="6"/>
  <c r="L122" i="6"/>
  <c r="M122" i="6"/>
  <c r="N122" i="6"/>
  <c r="O122" i="6"/>
  <c r="P122" i="6"/>
  <c r="Q122" i="6"/>
  <c r="B29" i="6"/>
  <c r="W1" i="20"/>
  <c r="V1" i="20"/>
  <c r="U1" i="20"/>
  <c r="T1" i="20"/>
  <c r="S1" i="20"/>
  <c r="R1" i="20"/>
  <c r="Q1" i="20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B1" i="20"/>
  <c r="A1" i="20"/>
  <c r="S2" i="22"/>
  <c r="AK2" i="22" s="1"/>
  <c r="R2" i="22"/>
  <c r="AJ2" i="22" s="1"/>
  <c r="Q2" i="22"/>
  <c r="AI2" i="22" s="1"/>
  <c r="P2" i="22"/>
  <c r="AH2" i="22" s="1"/>
  <c r="O2" i="22"/>
  <c r="AG2" i="22" s="1"/>
  <c r="N2" i="22"/>
  <c r="AF2" i="22" s="1"/>
  <c r="M2" i="22"/>
  <c r="AE2" i="22" s="1"/>
  <c r="L2" i="22"/>
  <c r="AD2" i="22" s="1"/>
  <c r="K2" i="22"/>
  <c r="AC2" i="22" s="1"/>
  <c r="J2" i="22"/>
  <c r="AB2" i="22" s="1"/>
  <c r="I2" i="22"/>
  <c r="AA2" i="22" s="1"/>
  <c r="H2" i="22"/>
  <c r="G2" i="22"/>
  <c r="Y2" i="22" s="1"/>
  <c r="I36" i="22" s="1"/>
  <c r="F2" i="22"/>
  <c r="X2" i="22" s="1"/>
  <c r="E2" i="22"/>
  <c r="W2" i="22" s="1"/>
  <c r="D2" i="22"/>
  <c r="D36" i="22" s="1"/>
  <c r="F96" i="6"/>
  <c r="F39" i="6"/>
  <c r="X39" i="6"/>
  <c r="X3" i="6"/>
  <c r="F3" i="6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Z2" i="22" l="1"/>
  <c r="H36" i="22"/>
  <c r="S14" i="22"/>
  <c r="S13" i="22"/>
  <c r="S12" i="22"/>
  <c r="S11" i="22"/>
  <c r="S10" i="22"/>
  <c r="S9" i="22"/>
  <c r="S8" i="22"/>
  <c r="S7" i="22"/>
  <c r="S6" i="22"/>
  <c r="S5" i="22"/>
  <c r="S4" i="22"/>
  <c r="R14" i="22"/>
  <c r="R13" i="22"/>
  <c r="R12" i="22"/>
  <c r="R11" i="22"/>
  <c r="R10" i="22"/>
  <c r="R9" i="22"/>
  <c r="R8" i="22"/>
  <c r="R7" i="22"/>
  <c r="R6" i="22"/>
  <c r="R5" i="22"/>
  <c r="R4" i="22"/>
  <c r="Q14" i="22"/>
  <c r="Q13" i="22"/>
  <c r="Q12" i="22"/>
  <c r="Q11" i="22"/>
  <c r="Q10" i="22"/>
  <c r="Q9" i="22"/>
  <c r="Q8" i="22"/>
  <c r="Q7" i="22"/>
  <c r="Q6" i="22"/>
  <c r="Q5" i="22"/>
  <c r="Q4" i="22"/>
  <c r="P14" i="22"/>
  <c r="P13" i="22"/>
  <c r="P12" i="22"/>
  <c r="P11" i="22"/>
  <c r="P10" i="22"/>
  <c r="P9" i="22"/>
  <c r="P8" i="22"/>
  <c r="P7" i="22"/>
  <c r="P6" i="22"/>
  <c r="P5" i="22"/>
  <c r="P4" i="22"/>
  <c r="O6" i="22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N10" i="22"/>
  <c r="L14" i="22"/>
  <c r="J14" i="22"/>
  <c r="AB781" i="8"/>
  <c r="AB780" i="8"/>
  <c r="AB779" i="8"/>
  <c r="AB776" i="8"/>
  <c r="AB775" i="8"/>
  <c r="AB774" i="8"/>
  <c r="AB771" i="8"/>
  <c r="AB770" i="8"/>
  <c r="AB769" i="8"/>
  <c r="AB768" i="8"/>
  <c r="AB767" i="8"/>
  <c r="AB766" i="8"/>
  <c r="AB765" i="8"/>
  <c r="AB764" i="8"/>
  <c r="AB763" i="8"/>
  <c r="AB762" i="8"/>
  <c r="AB761" i="8"/>
  <c r="AB758" i="8"/>
  <c r="AB757" i="8"/>
  <c r="AB756" i="8"/>
  <c r="AB755" i="8"/>
  <c r="AB754" i="8"/>
  <c r="AB753" i="8"/>
  <c r="AB752" i="8"/>
  <c r="AB751" i="8"/>
  <c r="AB750" i="8"/>
  <c r="AB749" i="8"/>
  <c r="AB748" i="8"/>
  <c r="AB744" i="8"/>
  <c r="AB743" i="8"/>
  <c r="AB742" i="8"/>
  <c r="AB741" i="8"/>
  <c r="AB740" i="8"/>
  <c r="AB739" i="8"/>
  <c r="AB738" i="8"/>
  <c r="AB737" i="8"/>
  <c r="AB736" i="8"/>
  <c r="AB732" i="8"/>
  <c r="AB731" i="8"/>
  <c r="AB730" i="8"/>
  <c r="AB727" i="8"/>
  <c r="AB726" i="8"/>
  <c r="AB725" i="8"/>
  <c r="AB722" i="8"/>
  <c r="AB721" i="8"/>
  <c r="AB720" i="8"/>
  <c r="AB719" i="8"/>
  <c r="AB718" i="8"/>
  <c r="AB717" i="8"/>
  <c r="AB716" i="8"/>
  <c r="AB715" i="8"/>
  <c r="AB714" i="8"/>
  <c r="AB713" i="8"/>
  <c r="AB712" i="8"/>
  <c r="AB709" i="8"/>
  <c r="AB708" i="8"/>
  <c r="AB707" i="8"/>
  <c r="AB706" i="8"/>
  <c r="AB705" i="8"/>
  <c r="AB704" i="8"/>
  <c r="AB703" i="8"/>
  <c r="AB702" i="8"/>
  <c r="AB701" i="8"/>
  <c r="AB700" i="8"/>
  <c r="AB699" i="8"/>
  <c r="AB695" i="8"/>
  <c r="AB694" i="8"/>
  <c r="AB693" i="8"/>
  <c r="AB692" i="8"/>
  <c r="AB691" i="8"/>
  <c r="AB690" i="8"/>
  <c r="AB689" i="8"/>
  <c r="AB688" i="8"/>
  <c r="AB687" i="8"/>
  <c r="AB683" i="8"/>
  <c r="AB682" i="8"/>
  <c r="AB681" i="8"/>
  <c r="AB678" i="8"/>
  <c r="AB677" i="8"/>
  <c r="AB676" i="8"/>
  <c r="AB673" i="8"/>
  <c r="AB672" i="8"/>
  <c r="AB671" i="8"/>
  <c r="AB670" i="8"/>
  <c r="AB669" i="8"/>
  <c r="AB668" i="8"/>
  <c r="AB667" i="8"/>
  <c r="AB666" i="8"/>
  <c r="AB665" i="8"/>
  <c r="AB664" i="8"/>
  <c r="AB663" i="8"/>
  <c r="AB660" i="8"/>
  <c r="AB659" i="8"/>
  <c r="AB658" i="8"/>
  <c r="AB657" i="8"/>
  <c r="AB656" i="8"/>
  <c r="AB655" i="8"/>
  <c r="AB654" i="8"/>
  <c r="AB653" i="8"/>
  <c r="AB652" i="8"/>
  <c r="AB651" i="8"/>
  <c r="AB650" i="8"/>
  <c r="AB646" i="8"/>
  <c r="AB645" i="8"/>
  <c r="AB644" i="8"/>
  <c r="AB643" i="8"/>
  <c r="AB642" i="8"/>
  <c r="AB641" i="8"/>
  <c r="AB640" i="8"/>
  <c r="AB639" i="8"/>
  <c r="AB638" i="8"/>
  <c r="AB634" i="8"/>
  <c r="AB633" i="8"/>
  <c r="AB632" i="8"/>
  <c r="AB629" i="8"/>
  <c r="AB628" i="8"/>
  <c r="AB627" i="8"/>
  <c r="AB624" i="8"/>
  <c r="AB623" i="8"/>
  <c r="AB622" i="8"/>
  <c r="AB621" i="8"/>
  <c r="AB620" i="8"/>
  <c r="AB619" i="8"/>
  <c r="AB618" i="8"/>
  <c r="AB617" i="8"/>
  <c r="AB616" i="8"/>
  <c r="AB615" i="8"/>
  <c r="AB614" i="8"/>
  <c r="AB611" i="8"/>
  <c r="AB610" i="8"/>
  <c r="AB609" i="8"/>
  <c r="AB608" i="8"/>
  <c r="AB607" i="8"/>
  <c r="AB606" i="8"/>
  <c r="AB605" i="8"/>
  <c r="AB604" i="8"/>
  <c r="AB603" i="8"/>
  <c r="AB602" i="8"/>
  <c r="AB601" i="8"/>
  <c r="AB597" i="8"/>
  <c r="AB596" i="8"/>
  <c r="AB595" i="8"/>
  <c r="AB594" i="8"/>
  <c r="AB593" i="8"/>
  <c r="AB592" i="8"/>
  <c r="AB591" i="8"/>
  <c r="AB590" i="8"/>
  <c r="AB589" i="8"/>
  <c r="AB585" i="8"/>
  <c r="AB584" i="8"/>
  <c r="AB583" i="8"/>
  <c r="AB580" i="8"/>
  <c r="AB579" i="8"/>
  <c r="AB578" i="8"/>
  <c r="AB575" i="8"/>
  <c r="AB574" i="8"/>
  <c r="AB573" i="8"/>
  <c r="AB572" i="8"/>
  <c r="AB571" i="8"/>
  <c r="AB570" i="8"/>
  <c r="AB569" i="8"/>
  <c r="AB568" i="8"/>
  <c r="AB567" i="8"/>
  <c r="AB566" i="8"/>
  <c r="AB565" i="8"/>
  <c r="AB562" i="8"/>
  <c r="O14" i="22" s="1"/>
  <c r="AB561" i="8"/>
  <c r="O13" i="22" s="1"/>
  <c r="AB560" i="8"/>
  <c r="O12" i="22" s="1"/>
  <c r="AB559" i="8"/>
  <c r="O11" i="22" s="1"/>
  <c r="AB558" i="8"/>
  <c r="O10" i="22" s="1"/>
  <c r="AB557" i="8"/>
  <c r="O9" i="22" s="1"/>
  <c r="AB556" i="8"/>
  <c r="O8" i="22" s="1"/>
  <c r="AB555" i="8"/>
  <c r="O7" i="22" s="1"/>
  <c r="AB554" i="8"/>
  <c r="AB553" i="8"/>
  <c r="O5" i="22" s="1"/>
  <c r="AB552" i="8"/>
  <c r="O4" i="22" s="1"/>
  <c r="AB548" i="8"/>
  <c r="AB547" i="8"/>
  <c r="AB546" i="8"/>
  <c r="AB545" i="8"/>
  <c r="AB544" i="8"/>
  <c r="AB543" i="8"/>
  <c r="AB542" i="8"/>
  <c r="AB541" i="8"/>
  <c r="AB540" i="8"/>
  <c r="AB536" i="8"/>
  <c r="AB535" i="8"/>
  <c r="AB534" i="8"/>
  <c r="AB531" i="8"/>
  <c r="AB530" i="8"/>
  <c r="AB529" i="8"/>
  <c r="AB526" i="8"/>
  <c r="AB525" i="8"/>
  <c r="AB524" i="8"/>
  <c r="AB523" i="8"/>
  <c r="AB522" i="8"/>
  <c r="AB521" i="8"/>
  <c r="AB520" i="8"/>
  <c r="AB519" i="8"/>
  <c r="AB518" i="8"/>
  <c r="AB517" i="8"/>
  <c r="AB516" i="8"/>
  <c r="AB513" i="8"/>
  <c r="N14" i="22" s="1"/>
  <c r="AB512" i="8"/>
  <c r="N13" i="22" s="1"/>
  <c r="AB511" i="8"/>
  <c r="AB510" i="8"/>
  <c r="N11" i="22" s="1"/>
  <c r="AB509" i="8"/>
  <c r="AB508" i="8"/>
  <c r="AB507" i="8"/>
  <c r="AB506" i="8"/>
  <c r="AB505" i="8"/>
  <c r="AB504" i="8"/>
  <c r="AB503" i="8"/>
  <c r="AB499" i="8"/>
  <c r="AB498" i="8"/>
  <c r="AB497" i="8"/>
  <c r="AB496" i="8"/>
  <c r="AB495" i="8"/>
  <c r="AB494" i="8"/>
  <c r="AB493" i="8"/>
  <c r="AB492" i="8"/>
  <c r="AB491" i="8"/>
  <c r="AB487" i="8"/>
  <c r="AB486" i="8"/>
  <c r="AB485" i="8"/>
  <c r="AB482" i="8"/>
  <c r="AB481" i="8"/>
  <c r="AB480" i="8"/>
  <c r="AB477" i="8"/>
  <c r="AB476" i="8"/>
  <c r="AB475" i="8"/>
  <c r="AB474" i="8"/>
  <c r="AB473" i="8"/>
  <c r="AB472" i="8"/>
  <c r="AB471" i="8"/>
  <c r="AB470" i="8"/>
  <c r="AB469" i="8"/>
  <c r="AB468" i="8"/>
  <c r="AB467" i="8"/>
  <c r="AB464" i="8"/>
  <c r="M14" i="22" s="1"/>
  <c r="AB463" i="8"/>
  <c r="M13" i="22" s="1"/>
  <c r="AB462" i="8"/>
  <c r="M12" i="22" s="1"/>
  <c r="AB461" i="8"/>
  <c r="AB460" i="8"/>
  <c r="AB459" i="8"/>
  <c r="AB458" i="8"/>
  <c r="M8" i="22" s="1"/>
  <c r="AB457" i="8"/>
  <c r="AB456" i="8"/>
  <c r="AB455" i="8"/>
  <c r="AB454" i="8"/>
  <c r="AB450" i="8"/>
  <c r="AB449" i="8"/>
  <c r="AB448" i="8"/>
  <c r="AB447" i="8"/>
  <c r="AB446" i="8"/>
  <c r="AB445" i="8"/>
  <c r="AB444" i="8"/>
  <c r="AB443" i="8"/>
  <c r="AB442" i="8"/>
  <c r="AB438" i="8"/>
  <c r="AB437" i="8"/>
  <c r="AB436" i="8"/>
  <c r="AB433" i="8"/>
  <c r="AB432" i="8"/>
  <c r="AB431" i="8"/>
  <c r="AB428" i="8"/>
  <c r="AB427" i="8"/>
  <c r="AB426" i="8"/>
  <c r="AB425" i="8"/>
  <c r="AB424" i="8"/>
  <c r="AB423" i="8"/>
  <c r="AB422" i="8"/>
  <c r="AB421" i="8"/>
  <c r="AB420" i="8"/>
  <c r="AB419" i="8"/>
  <c r="AB418" i="8"/>
  <c r="AB415" i="8"/>
  <c r="AB414" i="8"/>
  <c r="L13" i="22" s="1"/>
  <c r="AB413" i="8"/>
  <c r="L12" i="22" s="1"/>
  <c r="AB412" i="8"/>
  <c r="L11" i="22" s="1"/>
  <c r="AB411" i="8"/>
  <c r="AB410" i="8"/>
  <c r="L9" i="22" s="1"/>
  <c r="AB409" i="8"/>
  <c r="L8" i="22" s="1"/>
  <c r="AB408" i="8"/>
  <c r="L7" i="22" s="1"/>
  <c r="AB407" i="8"/>
  <c r="AB406" i="8"/>
  <c r="AB405" i="8"/>
  <c r="L4" i="22" s="1"/>
  <c r="AB401" i="8"/>
  <c r="AB400" i="8"/>
  <c r="AB399" i="8"/>
  <c r="AB398" i="8"/>
  <c r="AB397" i="8"/>
  <c r="AB396" i="8"/>
  <c r="AB395" i="8"/>
  <c r="L6" i="22" s="1"/>
  <c r="AB394" i="8"/>
  <c r="AB393" i="8"/>
  <c r="AB389" i="8"/>
  <c r="AB388" i="8"/>
  <c r="AB387" i="8"/>
  <c r="AB384" i="8"/>
  <c r="AB383" i="8"/>
  <c r="AB382" i="8"/>
  <c r="AB379" i="8"/>
  <c r="AB378" i="8"/>
  <c r="AB377" i="8"/>
  <c r="AB376" i="8"/>
  <c r="AB375" i="8"/>
  <c r="AB374" i="8"/>
  <c r="AB373" i="8"/>
  <c r="AB372" i="8"/>
  <c r="AB371" i="8"/>
  <c r="AB370" i="8"/>
  <c r="AB369" i="8"/>
  <c r="AB366" i="8"/>
  <c r="K14" i="22" s="1"/>
  <c r="AB365" i="8"/>
  <c r="K13" i="22" s="1"/>
  <c r="AB364" i="8"/>
  <c r="K12" i="22" s="1"/>
  <c r="AB363" i="8"/>
  <c r="AB362" i="8"/>
  <c r="AB361" i="8"/>
  <c r="AB360" i="8"/>
  <c r="K8" i="22" s="1"/>
  <c r="AB359" i="8"/>
  <c r="K7" i="22" s="1"/>
  <c r="AB358" i="8"/>
  <c r="K6" i="22" s="1"/>
  <c r="AB357" i="8"/>
  <c r="K5" i="22" s="1"/>
  <c r="AB356" i="8"/>
  <c r="K4" i="22" s="1"/>
  <c r="AB352" i="8"/>
  <c r="AB351" i="8"/>
  <c r="K11" i="22" s="1"/>
  <c r="AB350" i="8"/>
  <c r="AB349" i="8"/>
  <c r="AB348" i="8"/>
  <c r="AB347" i="8"/>
  <c r="AB346" i="8"/>
  <c r="AB345" i="8"/>
  <c r="AB344" i="8"/>
  <c r="AB340" i="8"/>
  <c r="AB339" i="8"/>
  <c r="AB338" i="8"/>
  <c r="AB335" i="8"/>
  <c r="AB334" i="8"/>
  <c r="AB333" i="8"/>
  <c r="AB330" i="8"/>
  <c r="AB329" i="8"/>
  <c r="AB328" i="8"/>
  <c r="AB327" i="8"/>
  <c r="AB326" i="8"/>
  <c r="AB325" i="8"/>
  <c r="AB324" i="8"/>
  <c r="AB323" i="8"/>
  <c r="AB322" i="8"/>
  <c r="AB321" i="8"/>
  <c r="AB320" i="8"/>
  <c r="AB317" i="8"/>
  <c r="AB316" i="8"/>
  <c r="J13" i="22" s="1"/>
  <c r="AB315" i="8"/>
  <c r="J12" i="22" s="1"/>
  <c r="AB314" i="8"/>
  <c r="J11" i="22" s="1"/>
  <c r="AB313" i="8"/>
  <c r="J10" i="22" s="1"/>
  <c r="AB312" i="8"/>
  <c r="J9" i="22" s="1"/>
  <c r="AB311" i="8"/>
  <c r="J8" i="22" s="1"/>
  <c r="AB310" i="8"/>
  <c r="J7" i="22" s="1"/>
  <c r="AB309" i="8"/>
  <c r="AB308" i="8"/>
  <c r="J5" i="22" s="1"/>
  <c r="AB307" i="8"/>
  <c r="AB303" i="8"/>
  <c r="AB302" i="8"/>
  <c r="AB301" i="8"/>
  <c r="AB300" i="8"/>
  <c r="AB299" i="8"/>
  <c r="AB298" i="8"/>
  <c r="AB297" i="8"/>
  <c r="AB296" i="8"/>
  <c r="AB295" i="8"/>
  <c r="J4" i="22" s="1"/>
  <c r="AB291" i="8"/>
  <c r="AB290" i="8"/>
  <c r="AB289" i="8"/>
  <c r="AB286" i="8"/>
  <c r="AB285" i="8"/>
  <c r="AB284" i="8"/>
  <c r="AB281" i="8"/>
  <c r="AB280" i="8"/>
  <c r="AB279" i="8"/>
  <c r="AB278" i="8"/>
  <c r="AB277" i="8"/>
  <c r="AB276" i="8"/>
  <c r="AB275" i="8"/>
  <c r="AB274" i="8"/>
  <c r="AB273" i="8"/>
  <c r="AB272" i="8"/>
  <c r="AB271" i="8"/>
  <c r="AB268" i="8"/>
  <c r="I14" i="22" s="1"/>
  <c r="AB267" i="8"/>
  <c r="AB266" i="8"/>
  <c r="I12" i="22" s="1"/>
  <c r="AB265" i="8"/>
  <c r="I11" i="22" s="1"/>
  <c r="AB264" i="8"/>
  <c r="AB263" i="8"/>
  <c r="AB262" i="8"/>
  <c r="AB261" i="8"/>
  <c r="AB260" i="8"/>
  <c r="AB259" i="8"/>
  <c r="AB258" i="8"/>
  <c r="AB254" i="8"/>
  <c r="AB253" i="8"/>
  <c r="AB252" i="8"/>
  <c r="AB251" i="8"/>
  <c r="I9" i="22" s="1"/>
  <c r="AB250" i="8"/>
  <c r="AB249" i="8"/>
  <c r="I7" i="22" s="1"/>
  <c r="AB248" i="8"/>
  <c r="AB247" i="8"/>
  <c r="I5" i="22" s="1"/>
  <c r="AB246" i="8"/>
  <c r="AB242" i="8"/>
  <c r="AB241" i="8"/>
  <c r="AB240" i="8"/>
  <c r="AB237" i="8"/>
  <c r="AB236" i="8"/>
  <c r="AB235" i="8"/>
  <c r="AB232" i="8"/>
  <c r="AB231" i="8"/>
  <c r="AB230" i="8"/>
  <c r="AB229" i="8"/>
  <c r="AB228" i="8"/>
  <c r="AB227" i="8"/>
  <c r="AB226" i="8"/>
  <c r="AB225" i="8"/>
  <c r="AB224" i="8"/>
  <c r="AB223" i="8"/>
  <c r="AB222" i="8"/>
  <c r="AB219" i="8"/>
  <c r="AB218" i="8"/>
  <c r="AB217" i="8"/>
  <c r="AB216" i="8"/>
  <c r="AB215" i="8"/>
  <c r="AB214" i="8"/>
  <c r="AB213" i="8"/>
  <c r="AB212" i="8"/>
  <c r="AB211" i="8"/>
  <c r="AB210" i="8"/>
  <c r="AB209" i="8"/>
  <c r="AB205" i="8"/>
  <c r="AB204" i="8"/>
  <c r="AB203" i="8"/>
  <c r="AB202" i="8"/>
  <c r="AB201" i="8"/>
  <c r="AB200" i="8"/>
  <c r="AB199" i="8"/>
  <c r="AB198" i="8"/>
  <c r="AB197" i="8"/>
  <c r="AB193" i="8"/>
  <c r="AB192" i="8"/>
  <c r="AB191" i="8"/>
  <c r="AB188" i="8"/>
  <c r="AB187" i="8"/>
  <c r="AB186" i="8"/>
  <c r="AB183" i="8"/>
  <c r="AB182" i="8"/>
  <c r="AB181" i="8"/>
  <c r="AB180" i="8"/>
  <c r="AB179" i="8"/>
  <c r="AB178" i="8"/>
  <c r="AB177" i="8"/>
  <c r="AB176" i="8"/>
  <c r="AB175" i="8"/>
  <c r="AB174" i="8"/>
  <c r="AB173" i="8"/>
  <c r="AB170" i="8"/>
  <c r="AB169" i="8"/>
  <c r="AB168" i="8"/>
  <c r="AB167" i="8"/>
  <c r="AB166" i="8"/>
  <c r="AB165" i="8"/>
  <c r="AB164" i="8"/>
  <c r="AB163" i="8"/>
  <c r="AB162" i="8"/>
  <c r="AB161" i="8"/>
  <c r="AB160" i="8"/>
  <c r="AB156" i="8"/>
  <c r="AB155" i="8"/>
  <c r="AB154" i="8"/>
  <c r="AB153" i="8"/>
  <c r="AB152" i="8"/>
  <c r="AB151" i="8"/>
  <c r="AB150" i="8"/>
  <c r="AB149" i="8"/>
  <c r="AB148" i="8"/>
  <c r="AB145" i="8"/>
  <c r="AB144" i="8"/>
  <c r="AB143" i="8"/>
  <c r="AB140" i="8"/>
  <c r="AB139" i="8"/>
  <c r="AB138" i="8"/>
  <c r="AB135" i="8"/>
  <c r="AB134" i="8"/>
  <c r="AB133" i="8"/>
  <c r="AB132" i="8"/>
  <c r="AB131" i="8"/>
  <c r="AB130" i="8"/>
  <c r="AB129" i="8"/>
  <c r="AB128" i="8"/>
  <c r="AB127" i="8"/>
  <c r="AB126" i="8"/>
  <c r="AB125" i="8"/>
  <c r="AB122" i="8"/>
  <c r="AB121" i="8"/>
  <c r="AB120" i="8"/>
  <c r="AB119" i="8"/>
  <c r="AB118" i="8"/>
  <c r="AB117" i="8"/>
  <c r="AB116" i="8"/>
  <c r="AB115" i="8"/>
  <c r="AB114" i="8"/>
  <c r="AB113" i="8"/>
  <c r="AB112" i="8"/>
  <c r="AB108" i="8"/>
  <c r="AB107" i="8"/>
  <c r="AB106" i="8"/>
  <c r="AB105" i="8"/>
  <c r="AB104" i="8"/>
  <c r="AB103" i="8"/>
  <c r="AB102" i="8"/>
  <c r="AB101" i="8"/>
  <c r="AB100" i="8"/>
  <c r="AB97" i="8"/>
  <c r="AB96" i="8"/>
  <c r="AB95" i="8"/>
  <c r="AB92" i="8"/>
  <c r="AB91" i="8"/>
  <c r="AB90" i="8"/>
  <c r="AB87" i="8"/>
  <c r="AB86" i="8"/>
  <c r="AB85" i="8"/>
  <c r="AB84" i="8"/>
  <c r="AB83" i="8"/>
  <c r="AB82" i="8"/>
  <c r="AB81" i="8"/>
  <c r="AB80" i="8"/>
  <c r="AB79" i="8"/>
  <c r="AB78" i="8"/>
  <c r="AB77" i="8"/>
  <c r="AB74" i="8"/>
  <c r="AB73" i="8"/>
  <c r="AB72" i="8"/>
  <c r="AB71" i="8"/>
  <c r="AB70" i="8"/>
  <c r="AB69" i="8"/>
  <c r="AB68" i="8"/>
  <c r="AB67" i="8"/>
  <c r="AB66" i="8"/>
  <c r="AB65" i="8"/>
  <c r="AB64" i="8"/>
  <c r="AB60" i="8"/>
  <c r="AB59" i="8"/>
  <c r="AB58" i="8"/>
  <c r="AB57" i="8"/>
  <c r="AB56" i="8"/>
  <c r="AB55" i="8"/>
  <c r="AB54" i="8"/>
  <c r="AB53" i="8"/>
  <c r="AB52" i="8"/>
  <c r="I13" i="22"/>
  <c r="I6" i="22"/>
  <c r="I4" i="22"/>
  <c r="N12" i="22" l="1"/>
  <c r="N5" i="22"/>
  <c r="N6" i="22"/>
  <c r="N7" i="22"/>
  <c r="N8" i="22"/>
  <c r="N4" i="22"/>
  <c r="N9" i="22"/>
  <c r="M6" i="22"/>
  <c r="M9" i="22"/>
  <c r="M5" i="22"/>
  <c r="M10" i="22"/>
  <c r="M11" i="22"/>
  <c r="L10" i="22"/>
  <c r="L5" i="22"/>
  <c r="K9" i="22"/>
  <c r="K10" i="22"/>
  <c r="J6" i="22"/>
  <c r="M4" i="22"/>
  <c r="M7" i="22"/>
  <c r="I8" i="22"/>
  <c r="I10" i="22"/>
  <c r="H14" i="22"/>
  <c r="H13" i="22"/>
  <c r="H12" i="22"/>
  <c r="H11" i="22"/>
  <c r="H10" i="22"/>
  <c r="H9" i="22"/>
  <c r="H8" i="22"/>
  <c r="H7" i="22"/>
  <c r="H6" i="22"/>
  <c r="H5" i="22"/>
  <c r="H4" i="22"/>
  <c r="G14" i="22"/>
  <c r="G13" i="22"/>
  <c r="G12" i="22"/>
  <c r="G11" i="22"/>
  <c r="G10" i="22"/>
  <c r="G9" i="22"/>
  <c r="G8" i="22"/>
  <c r="G7" i="22"/>
  <c r="G6" i="22"/>
  <c r="G5" i="22"/>
  <c r="G4" i="22"/>
  <c r="E13" i="22"/>
  <c r="E14" i="22"/>
  <c r="F13" i="22"/>
  <c r="F14" i="22"/>
  <c r="F12" i="22"/>
  <c r="F11" i="22"/>
  <c r="F10" i="22"/>
  <c r="F9" i="22"/>
  <c r="F8" i="22"/>
  <c r="F7" i="22"/>
  <c r="F6" i="22"/>
  <c r="F5" i="22"/>
  <c r="F4" i="22"/>
  <c r="E12" i="22"/>
  <c r="E11" i="22"/>
  <c r="E10" i="22"/>
  <c r="E9" i="22"/>
  <c r="E8" i="22"/>
  <c r="E7" i="22"/>
  <c r="E6" i="22"/>
  <c r="E5" i="22"/>
  <c r="E4" i="22"/>
  <c r="A16" i="22"/>
  <c r="J23" i="22" l="1"/>
  <c r="U17" i="22"/>
  <c r="U27" i="22"/>
  <c r="U26" i="22"/>
  <c r="U25" i="22"/>
  <c r="U24" i="22"/>
  <c r="U21" i="22"/>
  <c r="U23" i="22"/>
  <c r="U19" i="22"/>
  <c r="U22" i="22"/>
  <c r="U20" i="22"/>
  <c r="U18" i="22"/>
  <c r="H24" i="22"/>
  <c r="K19" i="22"/>
  <c r="G17" i="22"/>
  <c r="H27" i="22"/>
  <c r="K18" i="22"/>
  <c r="J24" i="22"/>
  <c r="E17" i="22"/>
  <c r="F20" i="22"/>
  <c r="G18" i="22"/>
  <c r="L20" i="22"/>
  <c r="N17" i="22"/>
  <c r="O27" i="22"/>
  <c r="T22" i="22"/>
  <c r="T21" i="22"/>
  <c r="T20" i="22"/>
  <c r="T27" i="22"/>
  <c r="T19" i="22"/>
  <c r="T26" i="22"/>
  <c r="T18" i="22"/>
  <c r="T25" i="22"/>
  <c r="T17" i="22"/>
  <c r="T24" i="22"/>
  <c r="T23" i="22"/>
  <c r="J20" i="22"/>
  <c r="E19" i="22"/>
  <c r="F23" i="22"/>
  <c r="G19" i="22"/>
  <c r="L19" i="22"/>
  <c r="K27" i="22"/>
  <c r="J17" i="22"/>
  <c r="L27" i="22"/>
  <c r="F25" i="22"/>
  <c r="I26" i="22"/>
  <c r="N25" i="22"/>
  <c r="M27" i="22"/>
  <c r="I22" i="22"/>
  <c r="E27" i="22"/>
  <c r="F24" i="22"/>
  <c r="O22" i="22"/>
  <c r="I17" i="22"/>
  <c r="H19" i="22"/>
  <c r="J26" i="22"/>
  <c r="L26" i="22"/>
  <c r="F27" i="22"/>
  <c r="M20" i="22"/>
  <c r="N26" i="22"/>
  <c r="J27" i="22"/>
  <c r="E21" i="22"/>
  <c r="G23" i="22"/>
  <c r="H17" i="22"/>
  <c r="K26" i="22"/>
  <c r="M26" i="22"/>
  <c r="G21" i="22"/>
  <c r="E20" i="22"/>
  <c r="G22" i="22"/>
  <c r="N23" i="22"/>
  <c r="E22" i="22"/>
  <c r="F17" i="22"/>
  <c r="G24" i="22"/>
  <c r="H18" i="22"/>
  <c r="N22" i="22"/>
  <c r="L24" i="22"/>
  <c r="R20" i="22"/>
  <c r="Q26" i="22"/>
  <c r="J22" i="22"/>
  <c r="I20" i="22"/>
  <c r="R17" i="22"/>
  <c r="R19" i="22"/>
  <c r="Q25" i="22"/>
  <c r="I19" i="22"/>
  <c r="R18" i="22"/>
  <c r="Q24" i="22"/>
  <c r="I18" i="22"/>
  <c r="S27" i="22"/>
  <c r="Q23" i="22"/>
  <c r="S26" i="22"/>
  <c r="Q22" i="22"/>
  <c r="S25" i="22"/>
  <c r="Q21" i="22"/>
  <c r="P27" i="22"/>
  <c r="S24" i="22"/>
  <c r="Q20" i="22"/>
  <c r="P26" i="22"/>
  <c r="Q27" i="22"/>
  <c r="S23" i="22"/>
  <c r="Q19" i="22"/>
  <c r="P25" i="22"/>
  <c r="S21" i="22"/>
  <c r="S22" i="22"/>
  <c r="Q18" i="22"/>
  <c r="P24" i="22"/>
  <c r="R27" i="22"/>
  <c r="Q17" i="22"/>
  <c r="P23" i="22"/>
  <c r="P17" i="22"/>
  <c r="I21" i="22"/>
  <c r="S20" i="22"/>
  <c r="R26" i="22"/>
  <c r="P22" i="22"/>
  <c r="S19" i="22"/>
  <c r="R25" i="22"/>
  <c r="P21" i="22"/>
  <c r="O24" i="22"/>
  <c r="S18" i="22"/>
  <c r="R24" i="22"/>
  <c r="P20" i="22"/>
  <c r="O21" i="22"/>
  <c r="R21" i="22"/>
  <c r="S17" i="22"/>
  <c r="R23" i="22"/>
  <c r="P19" i="22"/>
  <c r="O18" i="22"/>
  <c r="I27" i="22"/>
  <c r="R22" i="22"/>
  <c r="P18" i="22"/>
  <c r="O17" i="22"/>
  <c r="I24" i="22"/>
  <c r="G25" i="22"/>
  <c r="K25" i="22"/>
  <c r="M24" i="22"/>
  <c r="N21" i="22"/>
  <c r="O19" i="22"/>
  <c r="E24" i="22"/>
  <c r="G26" i="22"/>
  <c r="H20" i="22"/>
  <c r="K24" i="22"/>
  <c r="J18" i="22"/>
  <c r="J19" i="22"/>
  <c r="M17" i="22"/>
  <c r="M23" i="22"/>
  <c r="E23" i="22"/>
  <c r="G27" i="22"/>
  <c r="H21" i="22"/>
  <c r="K23" i="22"/>
  <c r="N18" i="22"/>
  <c r="I23" i="22"/>
  <c r="L22" i="22"/>
  <c r="K20" i="22"/>
  <c r="N20" i="22"/>
  <c r="O26" i="22"/>
  <c r="E25" i="22"/>
  <c r="E26" i="22"/>
  <c r="F18" i="22"/>
  <c r="H22" i="22"/>
  <c r="K22" i="22"/>
  <c r="O20" i="22"/>
  <c r="M21" i="22"/>
  <c r="F19" i="22"/>
  <c r="H23" i="22"/>
  <c r="L23" i="22"/>
  <c r="M18" i="22"/>
  <c r="J25" i="22"/>
  <c r="M25" i="22"/>
  <c r="N19" i="22"/>
  <c r="F21" i="22"/>
  <c r="H25" i="22"/>
  <c r="L21" i="22"/>
  <c r="O23" i="22"/>
  <c r="M19" i="22"/>
  <c r="K21" i="22"/>
  <c r="F22" i="22"/>
  <c r="H26" i="22"/>
  <c r="L25" i="22"/>
  <c r="J21" i="22"/>
  <c r="I25" i="22"/>
  <c r="O25" i="22"/>
  <c r="E18" i="22"/>
  <c r="F26" i="22"/>
  <c r="G20" i="22"/>
  <c r="L18" i="22"/>
  <c r="N24" i="22"/>
  <c r="M22" i="22"/>
  <c r="K17" i="22"/>
  <c r="L17" i="22"/>
  <c r="N27" i="22"/>
  <c r="A12" i="20"/>
  <c r="Q99" i="6"/>
  <c r="Q124" i="6" s="1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5" i="6" s="1"/>
  <c r="Q98" i="6"/>
  <c r="Q96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AI63" i="6"/>
  <c r="AI42" i="6"/>
  <c r="AI43" i="6"/>
  <c r="AI44" i="6"/>
  <c r="AI45" i="6"/>
  <c r="AI46" i="6"/>
  <c r="AI47" i="6"/>
  <c r="AI48" i="6"/>
  <c r="AI49" i="6"/>
  <c r="AI50" i="6"/>
  <c r="AI51" i="6"/>
  <c r="AI52" i="6"/>
  <c r="AI53" i="6"/>
  <c r="AI54" i="6"/>
  <c r="AI55" i="6"/>
  <c r="AI56" i="6"/>
  <c r="AI57" i="6"/>
  <c r="AI58" i="6"/>
  <c r="AI59" i="6"/>
  <c r="AI60" i="6"/>
  <c r="AI61" i="6"/>
  <c r="AI62" i="6"/>
  <c r="AI41" i="6"/>
  <c r="Q41" i="6"/>
  <c r="AI39" i="6"/>
  <c r="Q39" i="6"/>
  <c r="AI7" i="6"/>
  <c r="AI29" i="6" s="1"/>
  <c r="AI30" i="6" s="1"/>
  <c r="AI8" i="6"/>
  <c r="AI9" i="6"/>
  <c r="AI10" i="6"/>
  <c r="AI11" i="6"/>
  <c r="AI12" i="6"/>
  <c r="AI13" i="6"/>
  <c r="AI36" i="6" s="1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6" i="6"/>
  <c r="AI3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6" i="6"/>
  <c r="Q3" i="6"/>
  <c r="I38" i="22" l="1"/>
  <c r="I42" i="22"/>
  <c r="I39" i="22"/>
  <c r="I43" i="22"/>
  <c r="I40" i="22"/>
  <c r="I41" i="22"/>
  <c r="I44" i="22"/>
  <c r="I45" i="22"/>
  <c r="I46" i="22"/>
  <c r="I47" i="22"/>
  <c r="I37" i="22"/>
  <c r="U29" i="22"/>
  <c r="M29" i="22"/>
  <c r="N29" i="22"/>
  <c r="G29" i="22"/>
  <c r="T29" i="22"/>
  <c r="H29" i="22"/>
  <c r="A32" i="20"/>
  <c r="A51" i="20" s="1"/>
  <c r="E29" i="22"/>
  <c r="L29" i="22"/>
  <c r="F29" i="22"/>
  <c r="O29" i="22"/>
  <c r="R29" i="22"/>
  <c r="K29" i="22"/>
  <c r="J29" i="22"/>
  <c r="P29" i="22"/>
  <c r="I29" i="22"/>
  <c r="S29" i="22"/>
  <c r="Q29" i="22"/>
  <c r="Q29" i="6"/>
  <c r="Q30" i="6" s="1"/>
  <c r="Q36" i="6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35" i="8"/>
  <c r="B416" i="7"/>
  <c r="A416" i="7" s="1"/>
  <c r="B417" i="7"/>
  <c r="B418" i="7"/>
  <c r="B419" i="7"/>
  <c r="B420" i="7"/>
  <c r="A420" i="7" s="1"/>
  <c r="B421" i="7"/>
  <c r="A421" i="7" s="1"/>
  <c r="B422" i="7"/>
  <c r="A422" i="7" s="1"/>
  <c r="B423" i="7"/>
  <c r="B424" i="7"/>
  <c r="A424" i="7" s="1"/>
  <c r="B425" i="7"/>
  <c r="B426" i="7"/>
  <c r="B427" i="7"/>
  <c r="B428" i="7"/>
  <c r="A428" i="7" s="1"/>
  <c r="B429" i="7"/>
  <c r="A429" i="7" s="1"/>
  <c r="B430" i="7"/>
  <c r="A430" i="7" s="1"/>
  <c r="B431" i="7"/>
  <c r="A431" i="7" s="1"/>
  <c r="B432" i="7"/>
  <c r="A432" i="7" s="1"/>
  <c r="B433" i="7"/>
  <c r="B434" i="7"/>
  <c r="B435" i="7"/>
  <c r="B436" i="7"/>
  <c r="A436" i="7" s="1"/>
  <c r="B437" i="7"/>
  <c r="A437" i="7" s="1"/>
  <c r="B438" i="7"/>
  <c r="A438" i="7" s="1"/>
  <c r="B439" i="7"/>
  <c r="A439" i="7" s="1"/>
  <c r="B415" i="7"/>
  <c r="A415" i="7" s="1"/>
  <c r="Q438" i="7"/>
  <c r="Q439" i="7" s="1"/>
  <c r="P438" i="7"/>
  <c r="P439" i="7" s="1"/>
  <c r="O438" i="7"/>
  <c r="O439" i="7" s="1"/>
  <c r="N439" i="7"/>
  <c r="M438" i="7"/>
  <c r="M439" i="7" s="1"/>
  <c r="L438" i="7"/>
  <c r="L439" i="7" s="1"/>
  <c r="I438" i="7"/>
  <c r="I439" i="7" s="1"/>
  <c r="H438" i="7"/>
  <c r="H439" i="7" s="1"/>
  <c r="G438" i="7"/>
  <c r="G439" i="7" s="1"/>
  <c r="F438" i="7"/>
  <c r="F439" i="7" s="1"/>
  <c r="E438" i="7"/>
  <c r="E439" i="7" s="1"/>
  <c r="D438" i="7"/>
  <c r="D439" i="7" s="1"/>
  <c r="A435" i="7"/>
  <c r="A434" i="7"/>
  <c r="A433" i="7"/>
  <c r="A427" i="7"/>
  <c r="A426" i="7"/>
  <c r="A425" i="7"/>
  <c r="A423" i="7"/>
  <c r="A419" i="7"/>
  <c r="A418" i="7"/>
  <c r="A417" i="7"/>
  <c r="B18" i="16" l="1"/>
  <c r="P99" i="6"/>
  <c r="P124" i="6" s="1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5" i="6" s="1"/>
  <c r="P98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41" i="6"/>
  <c r="P63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41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7" i="6"/>
  <c r="AH6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96" i="6"/>
  <c r="P39" i="6"/>
  <c r="AH39" i="6"/>
  <c r="AH3" i="6"/>
  <c r="P3" i="6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686" i="8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A398" i="7" s="1"/>
  <c r="B397" i="7"/>
  <c r="A397" i="7" s="1"/>
  <c r="B396" i="7"/>
  <c r="B395" i="7"/>
  <c r="B394" i="7"/>
  <c r="B393" i="7"/>
  <c r="B392" i="7"/>
  <c r="B391" i="7"/>
  <c r="B390" i="7"/>
  <c r="B389" i="7"/>
  <c r="B388" i="7"/>
  <c r="A412" i="7"/>
  <c r="Q411" i="7"/>
  <c r="Q412" i="7" s="1"/>
  <c r="P411" i="7"/>
  <c r="P412" i="7" s="1"/>
  <c r="O411" i="7"/>
  <c r="O412" i="7" s="1"/>
  <c r="N411" i="7"/>
  <c r="N412" i="7" s="1"/>
  <c r="M411" i="7"/>
  <c r="M412" i="7" s="1"/>
  <c r="L411" i="7"/>
  <c r="L412" i="7" s="1"/>
  <c r="I411" i="7"/>
  <c r="I412" i="7" s="1"/>
  <c r="H411" i="7"/>
  <c r="H412" i="7" s="1"/>
  <c r="G411" i="7"/>
  <c r="G412" i="7" s="1"/>
  <c r="F411" i="7"/>
  <c r="F412" i="7" s="1"/>
  <c r="E411" i="7"/>
  <c r="E412" i="7" s="1"/>
  <c r="D411" i="7"/>
  <c r="D412" i="7" s="1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6" i="7"/>
  <c r="A395" i="7"/>
  <c r="A394" i="7"/>
  <c r="A393" i="7"/>
  <c r="A392" i="7"/>
  <c r="A391" i="7"/>
  <c r="A390" i="7"/>
  <c r="A389" i="7"/>
  <c r="A388" i="7"/>
  <c r="B17" i="16" l="1"/>
  <c r="AH36" i="6"/>
  <c r="P36" i="6"/>
  <c r="AH29" i="6"/>
  <c r="AH30" i="6" s="1"/>
  <c r="P29" i="6"/>
  <c r="P30" i="6" s="1"/>
  <c r="O99" i="6"/>
  <c r="O124" i="6" s="1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5" i="6" s="1"/>
  <c r="O98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54" i="6"/>
  <c r="AG55" i="6"/>
  <c r="AG56" i="6"/>
  <c r="AG57" i="6"/>
  <c r="AG58" i="6"/>
  <c r="AG59" i="6"/>
  <c r="AG60" i="6"/>
  <c r="AG61" i="6"/>
  <c r="AG62" i="6"/>
  <c r="AG63" i="6"/>
  <c r="AG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41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G9" i="6"/>
  <c r="AG8" i="6"/>
  <c r="AG7" i="6"/>
  <c r="AG6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96" i="6"/>
  <c r="O39" i="6"/>
  <c r="AG39" i="6"/>
  <c r="AG3" i="6"/>
  <c r="O3" i="6"/>
  <c r="AG36" i="6" l="1"/>
  <c r="O36" i="6"/>
  <c r="AG29" i="6"/>
  <c r="AG30" i="6" s="1"/>
  <c r="O29" i="6"/>
  <c r="O30" i="6" s="1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37" i="8"/>
  <c r="B362" i="7"/>
  <c r="B363" i="7"/>
  <c r="B364" i="7"/>
  <c r="B365" i="7"/>
  <c r="B366" i="7"/>
  <c r="B367" i="7"/>
  <c r="A367" i="7" s="1"/>
  <c r="B368" i="7"/>
  <c r="B369" i="7"/>
  <c r="B370" i="7"/>
  <c r="B371" i="7"/>
  <c r="A371" i="7" s="1"/>
  <c r="B372" i="7"/>
  <c r="B373" i="7"/>
  <c r="A373" i="7" s="1"/>
  <c r="B374" i="7"/>
  <c r="B375" i="7"/>
  <c r="B376" i="7"/>
  <c r="B377" i="7"/>
  <c r="B378" i="7"/>
  <c r="B379" i="7"/>
  <c r="A379" i="7" s="1"/>
  <c r="B380" i="7"/>
  <c r="B381" i="7"/>
  <c r="B382" i="7"/>
  <c r="B383" i="7"/>
  <c r="A383" i="7" s="1"/>
  <c r="B384" i="7"/>
  <c r="B385" i="7"/>
  <c r="B361" i="7"/>
  <c r="M385" i="7"/>
  <c r="I385" i="7"/>
  <c r="A385" i="7"/>
  <c r="Q384" i="7"/>
  <c r="Q385" i="7" s="1"/>
  <c r="P384" i="7"/>
  <c r="P385" i="7" s="1"/>
  <c r="O384" i="7"/>
  <c r="O385" i="7" s="1"/>
  <c r="N384" i="7"/>
  <c r="N385" i="7" s="1"/>
  <c r="M384" i="7"/>
  <c r="L384" i="7"/>
  <c r="L385" i="7" s="1"/>
  <c r="I384" i="7"/>
  <c r="H384" i="7"/>
  <c r="H385" i="7" s="1"/>
  <c r="G384" i="7"/>
  <c r="G385" i="7" s="1"/>
  <c r="F384" i="7"/>
  <c r="F385" i="7" s="1"/>
  <c r="E384" i="7"/>
  <c r="E385" i="7" s="1"/>
  <c r="D384" i="7"/>
  <c r="D385" i="7" s="1"/>
  <c r="A384" i="7"/>
  <c r="A382" i="7"/>
  <c r="A381" i="7"/>
  <c r="A380" i="7"/>
  <c r="A378" i="7"/>
  <c r="A377" i="7"/>
  <c r="A376" i="7"/>
  <c r="A375" i="7"/>
  <c r="A374" i="7"/>
  <c r="A372" i="7"/>
  <c r="A370" i="7"/>
  <c r="A369" i="7"/>
  <c r="A368" i="7"/>
  <c r="A366" i="7"/>
  <c r="A365" i="7"/>
  <c r="A364" i="7"/>
  <c r="A363" i="7"/>
  <c r="A362" i="7"/>
  <c r="A361" i="7"/>
  <c r="B16" i="16" l="1"/>
  <c r="N120" i="6" l="1"/>
  <c r="N125" i="6" s="1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124" i="6" s="1"/>
  <c r="N98" i="6"/>
  <c r="AF63" i="6"/>
  <c r="AF62" i="6"/>
  <c r="AF61" i="6"/>
  <c r="AF60" i="6"/>
  <c r="AF59" i="6"/>
  <c r="AF58" i="6"/>
  <c r="AF57" i="6"/>
  <c r="AF56" i="6"/>
  <c r="AF55" i="6"/>
  <c r="AF54" i="6"/>
  <c r="AF53" i="6"/>
  <c r="AF52" i="6"/>
  <c r="AF51" i="6"/>
  <c r="AF50" i="6"/>
  <c r="AF49" i="6"/>
  <c r="AF48" i="6"/>
  <c r="AF47" i="6"/>
  <c r="AF46" i="6"/>
  <c r="AF45" i="6"/>
  <c r="AF44" i="6"/>
  <c r="AF43" i="6"/>
  <c r="AF42" i="6"/>
  <c r="AF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41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F6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96" i="6"/>
  <c r="AF39" i="6"/>
  <c r="N39" i="6"/>
  <c r="AF3" i="6"/>
  <c r="N3" i="6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588" i="8"/>
  <c r="B335" i="7"/>
  <c r="B336" i="7"/>
  <c r="B337" i="7"/>
  <c r="A337" i="7" s="1"/>
  <c r="B338" i="7"/>
  <c r="A338" i="7" s="1"/>
  <c r="B339" i="7"/>
  <c r="B340" i="7"/>
  <c r="A340" i="7" s="1"/>
  <c r="B341" i="7"/>
  <c r="A341" i="7" s="1"/>
  <c r="B342" i="7"/>
  <c r="A342" i="7" s="1"/>
  <c r="B343" i="7"/>
  <c r="A343" i="7" s="1"/>
  <c r="B344" i="7"/>
  <c r="A344" i="7" s="1"/>
  <c r="B345" i="7"/>
  <c r="A345" i="7" s="1"/>
  <c r="B346" i="7"/>
  <c r="A346" i="7" s="1"/>
  <c r="B347" i="7"/>
  <c r="B348" i="7"/>
  <c r="A348" i="7" s="1"/>
  <c r="B349" i="7"/>
  <c r="A349" i="7" s="1"/>
  <c r="B350" i="7"/>
  <c r="A350" i="7" s="1"/>
  <c r="B351" i="7"/>
  <c r="B352" i="7"/>
  <c r="A352" i="7" s="1"/>
  <c r="B353" i="7"/>
  <c r="B354" i="7"/>
  <c r="A354" i="7" s="1"/>
  <c r="B355" i="7"/>
  <c r="B356" i="7"/>
  <c r="A356" i="7" s="1"/>
  <c r="B357" i="7"/>
  <c r="A357" i="7" s="1"/>
  <c r="B358" i="7"/>
  <c r="A358" i="7" s="1"/>
  <c r="B334" i="7"/>
  <c r="Q357" i="7"/>
  <c r="Q358" i="7" s="1"/>
  <c r="P357" i="7"/>
  <c r="P358" i="7" s="1"/>
  <c r="O357" i="7"/>
  <c r="O358" i="7" s="1"/>
  <c r="N357" i="7"/>
  <c r="N358" i="7" s="1"/>
  <c r="M357" i="7"/>
  <c r="M358" i="7" s="1"/>
  <c r="L357" i="7"/>
  <c r="L358" i="7" s="1"/>
  <c r="I357" i="7"/>
  <c r="I358" i="7" s="1"/>
  <c r="H357" i="7"/>
  <c r="H358" i="7" s="1"/>
  <c r="G357" i="7"/>
  <c r="G358" i="7" s="1"/>
  <c r="F357" i="7"/>
  <c r="F358" i="7" s="1"/>
  <c r="E357" i="7"/>
  <c r="E358" i="7" s="1"/>
  <c r="D357" i="7"/>
  <c r="D358" i="7" s="1"/>
  <c r="A355" i="7"/>
  <c r="A353" i="7"/>
  <c r="A351" i="7"/>
  <c r="A347" i="7"/>
  <c r="A339" i="7"/>
  <c r="A336" i="7"/>
  <c r="A335" i="7"/>
  <c r="A334" i="7"/>
  <c r="B15" i="16" l="1"/>
  <c r="AF36" i="6"/>
  <c r="N36" i="6"/>
  <c r="AF29" i="6"/>
  <c r="AF30" i="6" s="1"/>
  <c r="N29" i="6"/>
  <c r="N30" i="6" s="1"/>
  <c r="A19" i="20" l="1"/>
  <c r="D330" i="7"/>
  <c r="E330" i="7"/>
  <c r="F330" i="7"/>
  <c r="F331" i="7" s="1"/>
  <c r="G330" i="7"/>
  <c r="G331" i="7" s="1"/>
  <c r="H330" i="7"/>
  <c r="H331" i="7" s="1"/>
  <c r="I330" i="7"/>
  <c r="I331" i="7" s="1"/>
  <c r="L330" i="7"/>
  <c r="L331" i="7" s="1"/>
  <c r="M330" i="7"/>
  <c r="M331" i="7" s="1"/>
  <c r="N330" i="7"/>
  <c r="N331" i="7" s="1"/>
  <c r="O330" i="7"/>
  <c r="O331" i="7" s="1"/>
  <c r="P330" i="7"/>
  <c r="P331" i="7" s="1"/>
  <c r="Q330" i="7"/>
  <c r="Q331" i="7" s="1"/>
  <c r="D331" i="7"/>
  <c r="E331" i="7"/>
  <c r="A39" i="20" l="1"/>
  <c r="A58" i="20" s="1"/>
  <c r="B14" i="1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60" i="6"/>
  <c r="AE61" i="6"/>
  <c r="AE62" i="6"/>
  <c r="AE63" i="6"/>
  <c r="AE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41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6" i="6"/>
  <c r="M99" i="6"/>
  <c r="M124" i="6" s="1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5" i="6" s="1"/>
  <c r="M98" i="6"/>
  <c r="M96" i="6"/>
  <c r="M39" i="6"/>
  <c r="AE39" i="6"/>
  <c r="AE3" i="6"/>
  <c r="M3" i="6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39" i="8"/>
  <c r="B308" i="7"/>
  <c r="A308" i="7" s="1"/>
  <c r="B309" i="7"/>
  <c r="A309" i="7" s="1"/>
  <c r="B310" i="7"/>
  <c r="A310" i="7" s="1"/>
  <c r="B311" i="7"/>
  <c r="B312" i="7"/>
  <c r="B313" i="7"/>
  <c r="A313" i="7" s="1"/>
  <c r="B314" i="7"/>
  <c r="A314" i="7" s="1"/>
  <c r="B315" i="7"/>
  <c r="B316" i="7"/>
  <c r="A316" i="7" s="1"/>
  <c r="B317" i="7"/>
  <c r="B318" i="7"/>
  <c r="B319" i="7"/>
  <c r="A319" i="7" s="1"/>
  <c r="B320" i="7"/>
  <c r="A320" i="7" s="1"/>
  <c r="B321" i="7"/>
  <c r="A321" i="7" s="1"/>
  <c r="B322" i="7"/>
  <c r="A322" i="7" s="1"/>
  <c r="B323" i="7"/>
  <c r="A323" i="7" s="1"/>
  <c r="B324" i="7"/>
  <c r="A324" i="7" s="1"/>
  <c r="B325" i="7"/>
  <c r="A325" i="7" s="1"/>
  <c r="B326" i="7"/>
  <c r="A326" i="7" s="1"/>
  <c r="B327" i="7"/>
  <c r="A327" i="7" s="1"/>
  <c r="B328" i="7"/>
  <c r="A328" i="7" s="1"/>
  <c r="B329" i="7"/>
  <c r="A329" i="7" s="1"/>
  <c r="B330" i="7"/>
  <c r="A330" i="7" s="1"/>
  <c r="B331" i="7"/>
  <c r="A331" i="7" s="1"/>
  <c r="B307" i="7"/>
  <c r="A307" i="7" s="1"/>
  <c r="A318" i="7"/>
  <c r="A317" i="7"/>
  <c r="A315" i="7"/>
  <c r="A312" i="7"/>
  <c r="A311" i="7"/>
  <c r="AE29" i="6" l="1"/>
  <c r="AE30" i="6" s="1"/>
  <c r="M36" i="6"/>
  <c r="M29" i="6"/>
  <c r="M30" i="6" s="1"/>
  <c r="AE36" i="6"/>
  <c r="L99" i="6" l="1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5" i="6" s="1"/>
  <c r="L98" i="6"/>
  <c r="L96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59" i="6"/>
  <c r="AD60" i="6"/>
  <c r="AD61" i="6"/>
  <c r="AD62" i="6"/>
  <c r="AD63" i="6"/>
  <c r="AD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41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6" i="6"/>
  <c r="L39" i="6"/>
  <c r="AD39" i="6"/>
  <c r="AD3" i="6"/>
  <c r="L3" i="6"/>
  <c r="B281" i="7"/>
  <c r="A281" i="7" s="1"/>
  <c r="B282" i="7"/>
  <c r="B283" i="7"/>
  <c r="B284" i="7"/>
  <c r="B285" i="7"/>
  <c r="B286" i="7"/>
  <c r="B287" i="7"/>
  <c r="A287" i="7" s="1"/>
  <c r="B288" i="7"/>
  <c r="B289" i="7"/>
  <c r="B290" i="7"/>
  <c r="B291" i="7"/>
  <c r="B292" i="7"/>
  <c r="B293" i="7"/>
  <c r="B294" i="7"/>
  <c r="A294" i="7" s="1"/>
  <c r="B295" i="7"/>
  <c r="B296" i="7"/>
  <c r="B297" i="7"/>
  <c r="A297" i="7" s="1"/>
  <c r="B298" i="7"/>
  <c r="B299" i="7"/>
  <c r="B300" i="7"/>
  <c r="B301" i="7"/>
  <c r="B302" i="7"/>
  <c r="B303" i="7"/>
  <c r="A303" i="7" s="1"/>
  <c r="B304" i="7"/>
  <c r="A304" i="7" s="1"/>
  <c r="B280" i="7"/>
  <c r="Q303" i="7"/>
  <c r="Q304" i="7" s="1"/>
  <c r="P303" i="7"/>
  <c r="P304" i="7" s="1"/>
  <c r="O303" i="7"/>
  <c r="O304" i="7" s="1"/>
  <c r="N303" i="7"/>
  <c r="N304" i="7" s="1"/>
  <c r="M303" i="7"/>
  <c r="M304" i="7" s="1"/>
  <c r="L303" i="7"/>
  <c r="L304" i="7" s="1"/>
  <c r="I303" i="7"/>
  <c r="I304" i="7" s="1"/>
  <c r="H303" i="7"/>
  <c r="H304" i="7" s="1"/>
  <c r="G303" i="7"/>
  <c r="G304" i="7" s="1"/>
  <c r="F303" i="7"/>
  <c r="F304" i="7" s="1"/>
  <c r="E303" i="7"/>
  <c r="E304" i="7" s="1"/>
  <c r="D303" i="7"/>
  <c r="D304" i="7" s="1"/>
  <c r="A302" i="7"/>
  <c r="A301" i="7"/>
  <c r="A300" i="7"/>
  <c r="A299" i="7"/>
  <c r="A298" i="7"/>
  <c r="A296" i="7"/>
  <c r="A295" i="7"/>
  <c r="A293" i="7"/>
  <c r="A292" i="7"/>
  <c r="A291" i="7"/>
  <c r="A290" i="7"/>
  <c r="A289" i="7"/>
  <c r="A288" i="7"/>
  <c r="A286" i="7"/>
  <c r="A285" i="7"/>
  <c r="A284" i="7"/>
  <c r="A283" i="7"/>
  <c r="A282" i="7"/>
  <c r="A280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17" i="7"/>
  <c r="A116" i="7"/>
  <c r="A90" i="7"/>
  <c r="A89" i="7"/>
  <c r="A88" i="7"/>
  <c r="A87" i="7"/>
  <c r="A86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5" i="20"/>
  <c r="A6" i="20"/>
  <c r="A7" i="20"/>
  <c r="A8" i="20"/>
  <c r="A9" i="20"/>
  <c r="A10" i="20"/>
  <c r="A11" i="20"/>
  <c r="A13" i="20"/>
  <c r="A14" i="20"/>
  <c r="A15" i="20"/>
  <c r="A16" i="20"/>
  <c r="A17" i="20"/>
  <c r="A18" i="20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41" i="6"/>
  <c r="K63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41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6" i="6"/>
  <c r="K99" i="6"/>
  <c r="K124" i="6" s="1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5" i="6" s="1"/>
  <c r="K98" i="6"/>
  <c r="K96" i="6"/>
  <c r="K39" i="6"/>
  <c r="AC39" i="6"/>
  <c r="AC3" i="6"/>
  <c r="K3" i="6"/>
  <c r="A38" i="20" l="1"/>
  <c r="A57" i="20" s="1"/>
  <c r="A37" i="20"/>
  <c r="A56" i="20" s="1"/>
  <c r="A34" i="20"/>
  <c r="A53" i="20" s="1"/>
  <c r="A31" i="20"/>
  <c r="A50" i="20" s="1"/>
  <c r="A36" i="20"/>
  <c r="A55" i="20" s="1"/>
  <c r="A30" i="20"/>
  <c r="A49" i="20" s="1"/>
  <c r="A29" i="20"/>
  <c r="A48" i="20" s="1"/>
  <c r="A33" i="20"/>
  <c r="A52" i="20" s="1"/>
  <c r="A28" i="20"/>
  <c r="A47" i="20" s="1"/>
  <c r="A35" i="20"/>
  <c r="A54" i="20" s="1"/>
  <c r="K5" i="20"/>
  <c r="J5" i="20"/>
  <c r="H5" i="20"/>
  <c r="L5" i="20"/>
  <c r="I5" i="20"/>
  <c r="G5" i="20"/>
  <c r="C5" i="20"/>
  <c r="B5" i="20"/>
  <c r="A25" i="20"/>
  <c r="A44" i="20" s="1"/>
  <c r="A26" i="20"/>
  <c r="A45" i="20" s="1"/>
  <c r="A27" i="20"/>
  <c r="A46" i="20" s="1"/>
  <c r="B13" i="16"/>
  <c r="AC29" i="6"/>
  <c r="AC30" i="6" s="1"/>
  <c r="L29" i="6"/>
  <c r="L30" i="6" s="1"/>
  <c r="AD36" i="6"/>
  <c r="K29" i="6"/>
  <c r="K30" i="6" s="1"/>
  <c r="AC36" i="6"/>
  <c r="L36" i="6"/>
  <c r="AD29" i="6"/>
  <c r="AD30" i="6" s="1"/>
  <c r="K36" i="6"/>
  <c r="O5" i="20"/>
  <c r="P5" i="20"/>
  <c r="N5" i="20"/>
  <c r="M5" i="20"/>
  <c r="R5" i="20"/>
  <c r="Q5" i="20"/>
  <c r="C48" i="25" s="1"/>
  <c r="L124" i="6"/>
  <c r="O276" i="7"/>
  <c r="O277" i="7" s="1"/>
  <c r="M276" i="7"/>
  <c r="M277" i="7" s="1"/>
  <c r="H276" i="7"/>
  <c r="H277" i="7" s="1"/>
  <c r="G276" i="7"/>
  <c r="E276" i="7"/>
  <c r="E277" i="7" s="1"/>
  <c r="D276" i="7"/>
  <c r="D277" i="7" s="1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53" i="7"/>
  <c r="L276" i="7"/>
  <c r="L277" i="7" s="1"/>
  <c r="D48" i="25" l="1"/>
  <c r="F48" i="25" s="1"/>
  <c r="H48" i="25"/>
  <c r="F5" i="20"/>
  <c r="D5" i="20"/>
  <c r="E5" i="20"/>
  <c r="N276" i="7"/>
  <c r="N277" i="7" s="1"/>
  <c r="P276" i="7"/>
  <c r="P277" i="7" s="1"/>
  <c r="Q276" i="7"/>
  <c r="Q277" i="7" s="1"/>
  <c r="G277" i="7"/>
  <c r="I276" i="7"/>
  <c r="I277" i="7" s="1"/>
  <c r="F276" i="7" l="1"/>
  <c r="F277" i="7" l="1"/>
  <c r="B12" i="1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5" i="6" s="1"/>
  <c r="J98" i="6"/>
  <c r="J96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41" i="6"/>
  <c r="AB39" i="6"/>
  <c r="J39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41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6" i="6"/>
  <c r="AB3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6" i="6"/>
  <c r="J3" i="6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392" i="8"/>
  <c r="B250" i="7"/>
  <c r="A250" i="7" s="1"/>
  <c r="B249" i="7"/>
  <c r="A249" i="7" s="1"/>
  <c r="B248" i="7"/>
  <c r="A248" i="7" s="1"/>
  <c r="B247" i="7"/>
  <c r="A247" i="7" s="1"/>
  <c r="B246" i="7"/>
  <c r="A246" i="7" s="1"/>
  <c r="B245" i="7"/>
  <c r="A245" i="7" s="1"/>
  <c r="B244" i="7"/>
  <c r="A244" i="7" s="1"/>
  <c r="B243" i="7"/>
  <c r="A243" i="7" s="1"/>
  <c r="B242" i="7"/>
  <c r="A242" i="7" s="1"/>
  <c r="B241" i="7"/>
  <c r="A241" i="7" s="1"/>
  <c r="B240" i="7"/>
  <c r="A240" i="7" s="1"/>
  <c r="B239" i="7"/>
  <c r="A239" i="7" s="1"/>
  <c r="B238" i="7"/>
  <c r="A238" i="7" s="1"/>
  <c r="B237" i="7"/>
  <c r="A237" i="7" s="1"/>
  <c r="B236" i="7"/>
  <c r="A236" i="7" s="1"/>
  <c r="B235" i="7"/>
  <c r="A235" i="7" s="1"/>
  <c r="B234" i="7"/>
  <c r="A234" i="7" s="1"/>
  <c r="B233" i="7"/>
  <c r="A233" i="7" s="1"/>
  <c r="B232" i="7"/>
  <c r="A232" i="7" s="1"/>
  <c r="B231" i="7"/>
  <c r="A231" i="7" s="1"/>
  <c r="B230" i="7"/>
  <c r="A230" i="7" s="1"/>
  <c r="B229" i="7"/>
  <c r="A229" i="7" s="1"/>
  <c r="B228" i="7"/>
  <c r="A228" i="7" s="1"/>
  <c r="B227" i="7"/>
  <c r="A227" i="7" s="1"/>
  <c r="B226" i="7"/>
  <c r="A226" i="7" s="1"/>
  <c r="Q249" i="7"/>
  <c r="Q250" i="7" s="1"/>
  <c r="P249" i="7"/>
  <c r="P250" i="7" s="1"/>
  <c r="O249" i="7"/>
  <c r="O250" i="7" s="1"/>
  <c r="N249" i="7"/>
  <c r="N250" i="7" s="1"/>
  <c r="M249" i="7"/>
  <c r="M250" i="7" s="1"/>
  <c r="L249" i="7"/>
  <c r="L250" i="7" s="1"/>
  <c r="I249" i="7"/>
  <c r="I250" i="7" s="1"/>
  <c r="H249" i="7"/>
  <c r="H250" i="7" s="1"/>
  <c r="G249" i="7"/>
  <c r="G250" i="7" s="1"/>
  <c r="F249" i="7"/>
  <c r="B11" i="16" s="1"/>
  <c r="E249" i="7"/>
  <c r="E250" i="7" s="1"/>
  <c r="D249" i="7"/>
  <c r="D250" i="7" s="1"/>
  <c r="J124" i="6" l="1"/>
  <c r="J122" i="6"/>
  <c r="J123" i="6"/>
  <c r="J29" i="6"/>
  <c r="J30" i="6" s="1"/>
  <c r="AB29" i="6"/>
  <c r="AB30" i="6" s="1"/>
  <c r="J36" i="6"/>
  <c r="AB36" i="6"/>
  <c r="F250" i="7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5" i="6" s="1"/>
  <c r="I98" i="6"/>
  <c r="I96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41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AA6" i="6"/>
  <c r="I6" i="6"/>
  <c r="I39" i="6"/>
  <c r="AA39" i="6"/>
  <c r="AA3" i="6"/>
  <c r="I3" i="6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43" i="8"/>
  <c r="B10" i="16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199" i="7"/>
  <c r="H223" i="7"/>
  <c r="Q222" i="7"/>
  <c r="Q223" i="7" s="1"/>
  <c r="P222" i="7"/>
  <c r="P223" i="7" s="1"/>
  <c r="O222" i="7"/>
  <c r="O223" i="7" s="1"/>
  <c r="N222" i="7"/>
  <c r="N223" i="7" s="1"/>
  <c r="M222" i="7"/>
  <c r="M223" i="7" s="1"/>
  <c r="L222" i="7"/>
  <c r="L223" i="7" s="1"/>
  <c r="I222" i="7"/>
  <c r="I223" i="7" s="1"/>
  <c r="H222" i="7"/>
  <c r="G222" i="7"/>
  <c r="G223" i="7" s="1"/>
  <c r="F222" i="7"/>
  <c r="F223" i="7" s="1"/>
  <c r="E222" i="7"/>
  <c r="E223" i="7" s="1"/>
  <c r="D222" i="7"/>
  <c r="D223" i="7" s="1"/>
  <c r="AA29" i="6" l="1"/>
  <c r="AA30" i="6" s="1"/>
  <c r="I29" i="6"/>
  <c r="I30" i="6" s="1"/>
  <c r="I36" i="6"/>
  <c r="AA36" i="6"/>
  <c r="I124" i="6"/>
  <c r="H99" i="6" l="1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5" i="6" s="1"/>
  <c r="H98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41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6" i="6"/>
  <c r="H96" i="6"/>
  <c r="H39" i="6"/>
  <c r="Z39" i="6"/>
  <c r="Z3" i="6"/>
  <c r="H3" i="6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294" i="8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Q195" i="7"/>
  <c r="Q196" i="7" s="1"/>
  <c r="P195" i="7"/>
  <c r="P196" i="7" s="1"/>
  <c r="O195" i="7"/>
  <c r="O196" i="7" s="1"/>
  <c r="N195" i="7"/>
  <c r="N196" i="7" s="1"/>
  <c r="M195" i="7"/>
  <c r="M196" i="7" s="1"/>
  <c r="L195" i="7"/>
  <c r="L196" i="7" s="1"/>
  <c r="I195" i="7"/>
  <c r="I196" i="7" s="1"/>
  <c r="H195" i="7"/>
  <c r="H196" i="7" s="1"/>
  <c r="G195" i="7"/>
  <c r="G196" i="7" s="1"/>
  <c r="F195" i="7"/>
  <c r="F196" i="7" s="1"/>
  <c r="E195" i="7"/>
  <c r="E196" i="7" s="1"/>
  <c r="D195" i="7"/>
  <c r="D196" i="7" s="1"/>
  <c r="B9" i="16" l="1"/>
  <c r="Z29" i="6"/>
  <c r="Z30" i="6" s="1"/>
  <c r="H29" i="6"/>
  <c r="H30" i="6" s="1"/>
  <c r="Z36" i="6"/>
  <c r="H36" i="6"/>
  <c r="H124" i="6"/>
  <c r="F168" i="7"/>
  <c r="B8" i="16" s="1"/>
  <c r="Q168" i="7"/>
  <c r="Q169" i="7" s="1"/>
  <c r="P168" i="7"/>
  <c r="P169" i="7" s="1"/>
  <c r="O168" i="7"/>
  <c r="O169" i="7" s="1"/>
  <c r="N168" i="7"/>
  <c r="N169" i="7" s="1"/>
  <c r="M168" i="7"/>
  <c r="M169" i="7" s="1"/>
  <c r="L168" i="7"/>
  <c r="L169" i="7" s="1"/>
  <c r="I168" i="7"/>
  <c r="I169" i="7" s="1"/>
  <c r="H168" i="7"/>
  <c r="H169" i="7" s="1"/>
  <c r="G168" i="7"/>
  <c r="G169" i="7" s="1"/>
  <c r="E168" i="7"/>
  <c r="E169" i="7" s="1"/>
  <c r="D168" i="7"/>
  <c r="D169" i="7" s="1"/>
  <c r="F169" i="7" l="1"/>
  <c r="F99" i="6"/>
  <c r="G99" i="6"/>
  <c r="G124" i="6" s="1"/>
  <c r="F100" i="6"/>
  <c r="G100" i="6"/>
  <c r="F101" i="6"/>
  <c r="G101" i="6"/>
  <c r="F102" i="6"/>
  <c r="G102" i="6"/>
  <c r="F103" i="6"/>
  <c r="F104" i="6"/>
  <c r="G104" i="6"/>
  <c r="F105" i="6"/>
  <c r="G105" i="6"/>
  <c r="F106" i="6"/>
  <c r="G106" i="6"/>
  <c r="F107" i="6"/>
  <c r="G107" i="6"/>
  <c r="F108" i="6"/>
  <c r="G108" i="6"/>
  <c r="F109" i="6"/>
  <c r="G109" i="6"/>
  <c r="F110" i="6"/>
  <c r="G110" i="6"/>
  <c r="F111" i="6"/>
  <c r="G111" i="6"/>
  <c r="F112" i="6"/>
  <c r="G112" i="6"/>
  <c r="F113" i="6"/>
  <c r="G113" i="6"/>
  <c r="F114" i="6"/>
  <c r="G114" i="6"/>
  <c r="F115" i="6"/>
  <c r="G115" i="6"/>
  <c r="F116" i="6"/>
  <c r="G116" i="6"/>
  <c r="F117" i="6"/>
  <c r="G117" i="6"/>
  <c r="F118" i="6"/>
  <c r="G118" i="6"/>
  <c r="F119" i="6"/>
  <c r="G119" i="6"/>
  <c r="F120" i="6"/>
  <c r="G120" i="6"/>
  <c r="G125" i="6" s="1"/>
  <c r="G98" i="6"/>
  <c r="F98" i="6"/>
  <c r="G96" i="6"/>
  <c r="E96" i="6"/>
  <c r="D96" i="6"/>
  <c r="C96" i="6"/>
  <c r="B96" i="6"/>
  <c r="X42" i="6"/>
  <c r="Y42" i="6"/>
  <c r="X43" i="6"/>
  <c r="Y43" i="6"/>
  <c r="X44" i="6"/>
  <c r="Y44" i="6"/>
  <c r="X45" i="6"/>
  <c r="Y45" i="6"/>
  <c r="X46" i="6"/>
  <c r="Y46" i="6"/>
  <c r="X47" i="6"/>
  <c r="Y47" i="6"/>
  <c r="X48" i="6"/>
  <c r="Y48" i="6"/>
  <c r="X49" i="6"/>
  <c r="Y49" i="6"/>
  <c r="X50" i="6"/>
  <c r="Y50" i="6"/>
  <c r="X51" i="6"/>
  <c r="Y51" i="6"/>
  <c r="X52" i="6"/>
  <c r="Y52" i="6"/>
  <c r="X53" i="6"/>
  <c r="Y53" i="6"/>
  <c r="X54" i="6"/>
  <c r="Y54" i="6"/>
  <c r="X55" i="6"/>
  <c r="Y55" i="6"/>
  <c r="X56" i="6"/>
  <c r="Y56" i="6"/>
  <c r="X57" i="6"/>
  <c r="Y57" i="6"/>
  <c r="X58" i="6"/>
  <c r="Y58" i="6"/>
  <c r="X59" i="6"/>
  <c r="Y59" i="6"/>
  <c r="X60" i="6"/>
  <c r="Y60" i="6"/>
  <c r="X61" i="6"/>
  <c r="Y61" i="6"/>
  <c r="X62" i="6"/>
  <c r="Y62" i="6"/>
  <c r="X63" i="6"/>
  <c r="Y63" i="6"/>
  <c r="Y41" i="6"/>
  <c r="X41" i="6"/>
  <c r="Y39" i="6"/>
  <c r="W39" i="6"/>
  <c r="V39" i="6"/>
  <c r="U39" i="6"/>
  <c r="T39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F62" i="6"/>
  <c r="G62" i="6"/>
  <c r="F63" i="6"/>
  <c r="G63" i="6"/>
  <c r="G41" i="6"/>
  <c r="F41" i="6"/>
  <c r="T7" i="6"/>
  <c r="U7" i="6"/>
  <c r="V7" i="6"/>
  <c r="W7" i="6"/>
  <c r="X7" i="6"/>
  <c r="Y7" i="6"/>
  <c r="T8" i="6"/>
  <c r="U8" i="6"/>
  <c r="V8" i="6"/>
  <c r="W8" i="6"/>
  <c r="X8" i="6"/>
  <c r="Y8" i="6"/>
  <c r="T9" i="6"/>
  <c r="U9" i="6"/>
  <c r="V9" i="6"/>
  <c r="W9" i="6"/>
  <c r="X9" i="6"/>
  <c r="Y9" i="6"/>
  <c r="T10" i="6"/>
  <c r="U10" i="6"/>
  <c r="V10" i="6"/>
  <c r="W10" i="6"/>
  <c r="X10" i="6"/>
  <c r="Y10" i="6"/>
  <c r="T11" i="6"/>
  <c r="U11" i="6"/>
  <c r="V11" i="6"/>
  <c r="W11" i="6"/>
  <c r="X11" i="6"/>
  <c r="Y11" i="6"/>
  <c r="T12" i="6"/>
  <c r="U12" i="6"/>
  <c r="V12" i="6"/>
  <c r="W12" i="6"/>
  <c r="X12" i="6"/>
  <c r="Y12" i="6"/>
  <c r="T13" i="6"/>
  <c r="U13" i="6"/>
  <c r="V13" i="6"/>
  <c r="W13" i="6"/>
  <c r="X13" i="6"/>
  <c r="Y13" i="6"/>
  <c r="T14" i="6"/>
  <c r="U14" i="6"/>
  <c r="V14" i="6"/>
  <c r="W14" i="6"/>
  <c r="X14" i="6"/>
  <c r="Y14" i="6"/>
  <c r="T15" i="6"/>
  <c r="U15" i="6"/>
  <c r="V15" i="6"/>
  <c r="W15" i="6"/>
  <c r="X15" i="6"/>
  <c r="Y15" i="6"/>
  <c r="T16" i="6"/>
  <c r="U16" i="6"/>
  <c r="V16" i="6"/>
  <c r="W16" i="6"/>
  <c r="X16" i="6"/>
  <c r="Y16" i="6"/>
  <c r="T17" i="6"/>
  <c r="U17" i="6"/>
  <c r="V17" i="6"/>
  <c r="W17" i="6"/>
  <c r="X17" i="6"/>
  <c r="Y17" i="6"/>
  <c r="T18" i="6"/>
  <c r="U18" i="6"/>
  <c r="V18" i="6"/>
  <c r="W18" i="6"/>
  <c r="X18" i="6"/>
  <c r="Y18" i="6"/>
  <c r="T19" i="6"/>
  <c r="U19" i="6"/>
  <c r="V19" i="6"/>
  <c r="W19" i="6"/>
  <c r="X19" i="6"/>
  <c r="Y19" i="6"/>
  <c r="T20" i="6"/>
  <c r="U20" i="6"/>
  <c r="V20" i="6"/>
  <c r="W20" i="6"/>
  <c r="X20" i="6"/>
  <c r="Y20" i="6"/>
  <c r="T21" i="6"/>
  <c r="U21" i="6"/>
  <c r="V21" i="6"/>
  <c r="W21" i="6"/>
  <c r="X21" i="6"/>
  <c r="Y21" i="6"/>
  <c r="T22" i="6"/>
  <c r="U22" i="6"/>
  <c r="V22" i="6"/>
  <c r="W22" i="6"/>
  <c r="X22" i="6"/>
  <c r="Y22" i="6"/>
  <c r="T23" i="6"/>
  <c r="U23" i="6"/>
  <c r="V23" i="6"/>
  <c r="W23" i="6"/>
  <c r="X23" i="6"/>
  <c r="Y23" i="6"/>
  <c r="T24" i="6"/>
  <c r="U24" i="6"/>
  <c r="V24" i="6"/>
  <c r="W24" i="6"/>
  <c r="X24" i="6"/>
  <c r="Y24" i="6"/>
  <c r="T25" i="6"/>
  <c r="U25" i="6"/>
  <c r="V25" i="6"/>
  <c r="W25" i="6"/>
  <c r="X25" i="6"/>
  <c r="Y25" i="6"/>
  <c r="T26" i="6"/>
  <c r="U26" i="6"/>
  <c r="V26" i="6"/>
  <c r="W26" i="6"/>
  <c r="X26" i="6"/>
  <c r="Y26" i="6"/>
  <c r="T27" i="6"/>
  <c r="U27" i="6"/>
  <c r="V27" i="6"/>
  <c r="W27" i="6"/>
  <c r="X27" i="6"/>
  <c r="Y27" i="6"/>
  <c r="T28" i="6"/>
  <c r="AI33" i="6" s="1"/>
  <c r="AI35" i="6" s="1"/>
  <c r="U28" i="6"/>
  <c r="V28" i="6"/>
  <c r="V33" i="6" s="1"/>
  <c r="V35" i="6" s="1"/>
  <c r="W28" i="6"/>
  <c r="W33" i="6" s="1"/>
  <c r="W35" i="6" s="1"/>
  <c r="X28" i="6"/>
  <c r="X33" i="6" s="1"/>
  <c r="X35" i="6" s="1"/>
  <c r="Y28" i="6"/>
  <c r="Y33" i="6" s="1"/>
  <c r="Y35" i="6" s="1"/>
  <c r="Y6" i="6"/>
  <c r="X6" i="6"/>
  <c r="F7" i="6"/>
  <c r="G7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G6" i="6"/>
  <c r="F6" i="6"/>
  <c r="Y3" i="6"/>
  <c r="W3" i="6"/>
  <c r="V3" i="6"/>
  <c r="U3" i="6"/>
  <c r="T3" i="6"/>
  <c r="G3" i="6"/>
  <c r="G39" i="6" s="1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196" i="8"/>
  <c r="H20" i="20" l="1"/>
  <c r="C20" i="20"/>
  <c r="H12" i="20"/>
  <c r="C12" i="20"/>
  <c r="H19" i="20"/>
  <c r="C19" i="20"/>
  <c r="C16" i="20"/>
  <c r="H16" i="20"/>
  <c r="H15" i="20"/>
  <c r="H11" i="20"/>
  <c r="C9" i="20"/>
  <c r="H9" i="20"/>
  <c r="C17" i="20"/>
  <c r="C6" i="20"/>
  <c r="H17" i="20"/>
  <c r="C8" i="20"/>
  <c r="H8" i="20"/>
  <c r="C15" i="20"/>
  <c r="C11" i="20"/>
  <c r="H10" i="20"/>
  <c r="C13" i="20"/>
  <c r="C18" i="20"/>
  <c r="H7" i="20"/>
  <c r="H13" i="20"/>
  <c r="C14" i="20"/>
  <c r="C10" i="20"/>
  <c r="C7" i="20"/>
  <c r="H18" i="20"/>
  <c r="H14" i="20"/>
  <c r="H6" i="20"/>
  <c r="K20" i="20"/>
  <c r="L20" i="20"/>
  <c r="K12" i="20"/>
  <c r="L12" i="20"/>
  <c r="K19" i="20"/>
  <c r="L19" i="20"/>
  <c r="L7" i="20"/>
  <c r="K14" i="20"/>
  <c r="L9" i="20"/>
  <c r="K7" i="20"/>
  <c r="K6" i="20"/>
  <c r="K17" i="20"/>
  <c r="L14" i="20"/>
  <c r="L6" i="20"/>
  <c r="K9" i="20"/>
  <c r="K8" i="20"/>
  <c r="L17" i="20"/>
  <c r="K16" i="20"/>
  <c r="L16" i="20"/>
  <c r="L15" i="20"/>
  <c r="K11" i="20"/>
  <c r="K10" i="20"/>
  <c r="L11" i="20"/>
  <c r="L10" i="20"/>
  <c r="L8" i="20"/>
  <c r="K18" i="20"/>
  <c r="K13" i="20"/>
  <c r="K15" i="20"/>
  <c r="L18" i="20"/>
  <c r="L13" i="20"/>
  <c r="C39" i="24"/>
  <c r="C16" i="24"/>
  <c r="D13" i="24"/>
  <c r="F13" i="24" s="1"/>
  <c r="C10" i="24"/>
  <c r="D16" i="24"/>
  <c r="E13" i="24"/>
  <c r="D4" i="24"/>
  <c r="C40" i="24"/>
  <c r="D10" i="24"/>
  <c r="E16" i="24"/>
  <c r="E4" i="24"/>
  <c r="C17" i="24"/>
  <c r="C26" i="24"/>
  <c r="E10" i="24"/>
  <c r="C27" i="24"/>
  <c r="C11" i="24"/>
  <c r="D17" i="24"/>
  <c r="F17" i="24" s="1"/>
  <c r="C4" i="24"/>
  <c r="C28" i="24"/>
  <c r="C6" i="24"/>
  <c r="D11" i="24"/>
  <c r="E17" i="24"/>
  <c r="C29" i="24"/>
  <c r="D6" i="24"/>
  <c r="E11" i="24"/>
  <c r="C18" i="24"/>
  <c r="C30" i="24"/>
  <c r="E6" i="24"/>
  <c r="C12" i="24"/>
  <c r="D18" i="24"/>
  <c r="C31" i="24"/>
  <c r="C7" i="24"/>
  <c r="D12" i="24"/>
  <c r="F12" i="24" s="1"/>
  <c r="E18" i="24"/>
  <c r="C32" i="24"/>
  <c r="D7" i="24"/>
  <c r="E12" i="24"/>
  <c r="C19" i="24"/>
  <c r="C33" i="24"/>
  <c r="E7" i="24"/>
  <c r="C14" i="24"/>
  <c r="D19" i="24"/>
  <c r="C34" i="24"/>
  <c r="C8" i="24"/>
  <c r="D14" i="24"/>
  <c r="E19" i="24"/>
  <c r="C35" i="24"/>
  <c r="D8" i="24"/>
  <c r="E14" i="24"/>
  <c r="C20" i="24"/>
  <c r="E15" i="24"/>
  <c r="C36" i="24"/>
  <c r="E8" i="24"/>
  <c r="C15" i="24"/>
  <c r="D20" i="24"/>
  <c r="C38" i="24"/>
  <c r="C37" i="24"/>
  <c r="D15" i="24"/>
  <c r="E20" i="24"/>
  <c r="C13" i="24"/>
  <c r="S20" i="20"/>
  <c r="F122" i="6"/>
  <c r="F123" i="6"/>
  <c r="F29" i="6"/>
  <c r="F30" i="6" s="1"/>
  <c r="V36" i="6"/>
  <c r="G29" i="6"/>
  <c r="G30" i="6" s="1"/>
  <c r="U36" i="6"/>
  <c r="Y29" i="6"/>
  <c r="Y30" i="6" s="1"/>
  <c r="T36" i="6"/>
  <c r="AI32" i="6"/>
  <c r="AI34" i="6" s="1"/>
  <c r="X29" i="6"/>
  <c r="X30" i="6" s="1"/>
  <c r="G36" i="6"/>
  <c r="W29" i="6"/>
  <c r="W30" i="6" s="1"/>
  <c r="F36" i="6"/>
  <c r="V29" i="6"/>
  <c r="V30" i="6" s="1"/>
  <c r="W36" i="6"/>
  <c r="Y36" i="6"/>
  <c r="U29" i="6"/>
  <c r="U30" i="6" s="1"/>
  <c r="X36" i="6"/>
  <c r="T29" i="6"/>
  <c r="T30" i="6" s="1"/>
  <c r="AI31" i="6" s="1"/>
  <c r="AH33" i="6"/>
  <c r="AH35" i="6" s="1"/>
  <c r="AG33" i="6"/>
  <c r="AG35" i="6" s="1"/>
  <c r="AF33" i="6"/>
  <c r="AF35" i="6" s="1"/>
  <c r="AE33" i="6"/>
  <c r="AE35" i="6" s="1"/>
  <c r="AD33" i="6"/>
  <c r="AD35" i="6" s="1"/>
  <c r="AC33" i="6"/>
  <c r="AC35" i="6" s="1"/>
  <c r="AB33" i="6"/>
  <c r="AB35" i="6" s="1"/>
  <c r="AA33" i="6"/>
  <c r="AA35" i="6" s="1"/>
  <c r="Z33" i="6"/>
  <c r="Z35" i="6" s="1"/>
  <c r="AH32" i="6"/>
  <c r="AH34" i="6" s="1"/>
  <c r="AG32" i="6"/>
  <c r="AG34" i="6" s="1"/>
  <c r="AF32" i="6"/>
  <c r="AF34" i="6" s="1"/>
  <c r="AE32" i="6"/>
  <c r="AE34" i="6" s="1"/>
  <c r="AC32" i="6"/>
  <c r="AC34" i="6" s="1"/>
  <c r="AD32" i="6"/>
  <c r="AD34" i="6" s="1"/>
  <c r="AB32" i="6"/>
  <c r="AB34" i="6" s="1"/>
  <c r="AA32" i="6"/>
  <c r="AA34" i="6" s="1"/>
  <c r="Z32" i="6"/>
  <c r="Z34" i="6" s="1"/>
  <c r="Y32" i="6"/>
  <c r="Y34" i="6" s="1"/>
  <c r="X32" i="6"/>
  <c r="X34" i="6" s="1"/>
  <c r="W32" i="6"/>
  <c r="W34" i="6" s="1"/>
  <c r="V32" i="6"/>
  <c r="V34" i="6" s="1"/>
  <c r="S19" i="20"/>
  <c r="S11" i="20"/>
  <c r="S12" i="20"/>
  <c r="S13" i="20"/>
  <c r="S17" i="20"/>
  <c r="S8" i="20"/>
  <c r="S9" i="20"/>
  <c r="S10" i="20"/>
  <c r="S16" i="20"/>
  <c r="S15" i="20"/>
  <c r="S14" i="20"/>
  <c r="S18" i="20"/>
  <c r="F7" i="24" l="1"/>
  <c r="F8" i="24"/>
  <c r="G40" i="20"/>
  <c r="G59" i="20" s="1"/>
  <c r="H40" i="20"/>
  <c r="H59" i="20" s="1"/>
  <c r="F6" i="20"/>
  <c r="C6" i="28"/>
  <c r="F17" i="20"/>
  <c r="F7" i="20"/>
  <c r="F9" i="20"/>
  <c r="F18" i="24"/>
  <c r="F10" i="20"/>
  <c r="F14" i="24"/>
  <c r="F14" i="20"/>
  <c r="F16" i="20"/>
  <c r="F15" i="24"/>
  <c r="F19" i="24"/>
  <c r="F18" i="20"/>
  <c r="C7" i="28"/>
  <c r="F19" i="20"/>
  <c r="F8" i="20"/>
  <c r="F10" i="24"/>
  <c r="F13" i="20"/>
  <c r="F6" i="24"/>
  <c r="F12" i="20"/>
  <c r="F20" i="24"/>
  <c r="F11" i="20"/>
  <c r="F15" i="20"/>
  <c r="C40" i="20"/>
  <c r="C59" i="20" s="1"/>
  <c r="F20" i="20"/>
  <c r="F11" i="24"/>
  <c r="F16" i="24"/>
  <c r="G32" i="20"/>
  <c r="G51" i="20" s="1"/>
  <c r="G37" i="20"/>
  <c r="G56" i="20" s="1"/>
  <c r="H36" i="20"/>
  <c r="H55" i="20" s="1"/>
  <c r="C30" i="20"/>
  <c r="C49" i="20" s="1"/>
  <c r="H37" i="20"/>
  <c r="H56" i="20" s="1"/>
  <c r="G35" i="20"/>
  <c r="G54" i="20" s="1"/>
  <c r="H35" i="20"/>
  <c r="H54" i="20" s="1"/>
  <c r="C36" i="20"/>
  <c r="C55" i="20" s="1"/>
  <c r="C34" i="20"/>
  <c r="C53" i="20" s="1"/>
  <c r="H34" i="20"/>
  <c r="H53" i="20" s="1"/>
  <c r="C33" i="20"/>
  <c r="C52" i="20" s="1"/>
  <c r="H33" i="20"/>
  <c r="H52" i="20" s="1"/>
  <c r="C35" i="20"/>
  <c r="C54" i="20" s="1"/>
  <c r="H38" i="20"/>
  <c r="H57" i="20" s="1"/>
  <c r="C32" i="20"/>
  <c r="C51" i="20" s="1"/>
  <c r="C39" i="20"/>
  <c r="C58" i="20" s="1"/>
  <c r="H28" i="20"/>
  <c r="H47" i="20" s="1"/>
  <c r="H30" i="20"/>
  <c r="H49" i="20" s="1"/>
  <c r="G33" i="20"/>
  <c r="G52" i="20" s="1"/>
  <c r="H29" i="20"/>
  <c r="H48" i="20" s="1"/>
  <c r="G30" i="20"/>
  <c r="G49" i="20" s="1"/>
  <c r="G38" i="20"/>
  <c r="G57" i="20" s="1"/>
  <c r="G34" i="20"/>
  <c r="G53" i="20" s="1"/>
  <c r="G28" i="20"/>
  <c r="G47" i="20" s="1"/>
  <c r="G31" i="20"/>
  <c r="G50" i="20" s="1"/>
  <c r="G39" i="20"/>
  <c r="G58" i="20" s="1"/>
  <c r="G36" i="20"/>
  <c r="G55" i="20" s="1"/>
  <c r="G29" i="20"/>
  <c r="G48" i="20" s="1"/>
  <c r="H31" i="20"/>
  <c r="H50" i="20" s="1"/>
  <c r="H39" i="20"/>
  <c r="H58" i="20" s="1"/>
  <c r="C31" i="20"/>
  <c r="C50" i="20" s="1"/>
  <c r="C37" i="20"/>
  <c r="C56" i="20" s="1"/>
  <c r="C38" i="20"/>
  <c r="C57" i="20" s="1"/>
  <c r="H32" i="20"/>
  <c r="H51" i="20" s="1"/>
  <c r="AB25" i="8"/>
  <c r="D13" i="22" s="1"/>
  <c r="AB38" i="8"/>
  <c r="D26" i="22" s="1"/>
  <c r="AL26" i="22" l="1"/>
  <c r="H46" i="22"/>
  <c r="J46" i="22" s="1"/>
  <c r="AM26" i="22"/>
  <c r="AL13" i="22"/>
  <c r="D46" i="22"/>
  <c r="F46" i="22" s="1"/>
  <c r="AM13" i="22"/>
  <c r="AB26" i="22"/>
  <c r="AD26" i="22"/>
  <c r="AA26" i="22"/>
  <c r="AK26" i="22"/>
  <c r="AF26" i="22"/>
  <c r="AJ26" i="22"/>
  <c r="Z26" i="22"/>
  <c r="AI26" i="22"/>
  <c r="AG26" i="22"/>
  <c r="X26" i="22"/>
  <c r="AE26" i="22"/>
  <c r="AC26" i="22"/>
  <c r="W26" i="22"/>
  <c r="AH26" i="22"/>
  <c r="Y26" i="22"/>
  <c r="AK13" i="22"/>
  <c r="AA13" i="22"/>
  <c r="AC13" i="22"/>
  <c r="AH13" i="22"/>
  <c r="AF13" i="22"/>
  <c r="AI13" i="22"/>
  <c r="AG13" i="22"/>
  <c r="AJ13" i="22"/>
  <c r="AD13" i="22"/>
  <c r="AB13" i="22"/>
  <c r="AE13" i="22"/>
  <c r="Z13" i="22"/>
  <c r="Y13" i="22"/>
  <c r="X13" i="22"/>
  <c r="W13" i="22"/>
  <c r="C29" i="20"/>
  <c r="C48" i="20" s="1"/>
  <c r="C28" i="20"/>
  <c r="C47" i="20" s="1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5" i="9"/>
  <c r="AH14" i="9"/>
  <c r="AH13" i="9"/>
  <c r="AH12" i="9"/>
  <c r="AH11" i="9"/>
  <c r="AH10" i="9"/>
  <c r="AH9" i="9"/>
  <c r="AH8" i="9"/>
  <c r="AH7" i="9"/>
  <c r="AH6" i="9"/>
  <c r="AH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5" i="9"/>
  <c r="M6" i="9"/>
  <c r="R6" i="9" s="1"/>
  <c r="AT6" i="9" s="1"/>
  <c r="M7" i="9"/>
  <c r="R7" i="9" s="1"/>
  <c r="AT7" i="9" s="1"/>
  <c r="M8" i="9"/>
  <c r="R8" i="9" s="1"/>
  <c r="AT8" i="9" s="1"/>
  <c r="M9" i="9"/>
  <c r="R9" i="9" s="1"/>
  <c r="AT9" i="9" s="1"/>
  <c r="M10" i="9"/>
  <c r="R10" i="9" s="1"/>
  <c r="AT10" i="9" s="1"/>
  <c r="M11" i="9"/>
  <c r="R11" i="9" s="1"/>
  <c r="AT11" i="9" s="1"/>
  <c r="M12" i="9"/>
  <c r="R12" i="9" s="1"/>
  <c r="AT12" i="9" s="1"/>
  <c r="M13" i="9"/>
  <c r="R13" i="9" s="1"/>
  <c r="AT13" i="9" s="1"/>
  <c r="M14" i="9"/>
  <c r="R14" i="9" s="1"/>
  <c r="AT14" i="9" s="1"/>
  <c r="M15" i="9"/>
  <c r="R15" i="9" s="1"/>
  <c r="AT15" i="9" s="1"/>
  <c r="M16" i="9"/>
  <c r="M17" i="9"/>
  <c r="M18" i="9"/>
  <c r="M19" i="9"/>
  <c r="M20" i="9"/>
  <c r="M21" i="9"/>
  <c r="M22" i="9"/>
  <c r="M23" i="9"/>
  <c r="M24" i="9"/>
  <c r="M25" i="9"/>
  <c r="M26" i="9"/>
  <c r="M5" i="9"/>
  <c r="R5" i="9" s="1"/>
  <c r="AT5" i="9" s="1"/>
  <c r="E5" i="9"/>
  <c r="Q16" i="9"/>
  <c r="O16" i="9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Q17" i="9" l="1"/>
  <c r="R17" i="9" s="1"/>
  <c r="R16" i="9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Q141" i="7"/>
  <c r="Q142" i="7" s="1"/>
  <c r="P141" i="7"/>
  <c r="P142" i="7" s="1"/>
  <c r="O141" i="7"/>
  <c r="O142" i="7" s="1"/>
  <c r="N141" i="7"/>
  <c r="N142" i="7" s="1"/>
  <c r="M141" i="7"/>
  <c r="M142" i="7" s="1"/>
  <c r="L141" i="7"/>
  <c r="L142" i="7" s="1"/>
  <c r="I141" i="7"/>
  <c r="I142" i="7" s="1"/>
  <c r="H141" i="7"/>
  <c r="H142" i="7" s="1"/>
  <c r="G141" i="7"/>
  <c r="G142" i="7" s="1"/>
  <c r="F141" i="7"/>
  <c r="E141" i="7"/>
  <c r="E142" i="7" s="1"/>
  <c r="D141" i="7"/>
  <c r="D142" i="7" s="1"/>
  <c r="B140" i="7"/>
  <c r="A140" i="7" s="1"/>
  <c r="B139" i="7"/>
  <c r="A139" i="7" s="1"/>
  <c r="B138" i="7"/>
  <c r="A138" i="7" s="1"/>
  <c r="B137" i="7"/>
  <c r="A137" i="7" s="1"/>
  <c r="B136" i="7"/>
  <c r="A136" i="7" s="1"/>
  <c r="B135" i="7"/>
  <c r="A135" i="7" s="1"/>
  <c r="B134" i="7"/>
  <c r="A134" i="7" s="1"/>
  <c r="B133" i="7"/>
  <c r="A133" i="7" s="1"/>
  <c r="B132" i="7"/>
  <c r="A132" i="7" s="1"/>
  <c r="B131" i="7"/>
  <c r="A131" i="7" s="1"/>
  <c r="B130" i="7"/>
  <c r="A130" i="7" s="1"/>
  <c r="B129" i="7"/>
  <c r="A129" i="7" s="1"/>
  <c r="B128" i="7"/>
  <c r="A128" i="7" s="1"/>
  <c r="B127" i="7"/>
  <c r="A127" i="7" s="1"/>
  <c r="B126" i="7"/>
  <c r="A126" i="7" s="1"/>
  <c r="B125" i="7"/>
  <c r="A125" i="7" s="1"/>
  <c r="B124" i="7"/>
  <c r="A124" i="7" s="1"/>
  <c r="B123" i="7"/>
  <c r="A123" i="7" s="1"/>
  <c r="B122" i="7"/>
  <c r="A122" i="7" s="1"/>
  <c r="B121" i="7"/>
  <c r="A121" i="7" s="1"/>
  <c r="B120" i="7"/>
  <c r="A120" i="7" s="1"/>
  <c r="B119" i="7"/>
  <c r="A119" i="7" s="1"/>
  <c r="B118" i="7"/>
  <c r="A118" i="7" s="1"/>
  <c r="Q18" i="9" l="1"/>
  <c r="Q19" i="9" s="1"/>
  <c r="F142" i="7"/>
  <c r="B7" i="16"/>
  <c r="R18" i="9"/>
  <c r="Q127" i="19"/>
  <c r="M127" i="19"/>
  <c r="L127" i="19"/>
  <c r="AB110" i="19"/>
  <c r="AA110" i="19"/>
  <c r="Y110" i="19"/>
  <c r="X110" i="19"/>
  <c r="W110" i="19"/>
  <c r="V110" i="19"/>
  <c r="U110" i="19"/>
  <c r="T110" i="19"/>
  <c r="S110" i="19"/>
  <c r="R110" i="19"/>
  <c r="Q110" i="19"/>
  <c r="P110" i="19"/>
  <c r="O110" i="19"/>
  <c r="N110" i="19"/>
  <c r="M110" i="19"/>
  <c r="L110" i="19"/>
  <c r="K110" i="19"/>
  <c r="J110" i="19"/>
  <c r="I110" i="19"/>
  <c r="H110" i="19"/>
  <c r="G110" i="19"/>
  <c r="F110" i="19"/>
  <c r="E110" i="19"/>
  <c r="D110" i="19"/>
  <c r="AB109" i="19"/>
  <c r="AA109" i="19"/>
  <c r="Y126" i="19"/>
  <c r="Y127" i="19" s="1"/>
  <c r="X126" i="19"/>
  <c r="X127" i="19" s="1"/>
  <c r="W126" i="19"/>
  <c r="W127" i="19" s="1"/>
  <c r="V126" i="19"/>
  <c r="V127" i="19" s="1"/>
  <c r="U126" i="19"/>
  <c r="U127" i="19" s="1"/>
  <c r="T126" i="19"/>
  <c r="T127" i="19" s="1"/>
  <c r="S126" i="19"/>
  <c r="S127" i="19" s="1"/>
  <c r="R126" i="19"/>
  <c r="R127" i="19" s="1"/>
  <c r="Q126" i="19"/>
  <c r="P126" i="19"/>
  <c r="P127" i="19" s="1"/>
  <c r="O126" i="19"/>
  <c r="O127" i="19" s="1"/>
  <c r="N126" i="19"/>
  <c r="AB126" i="19" s="1"/>
  <c r="AB127" i="19" s="1"/>
  <c r="M126" i="19"/>
  <c r="L126" i="19"/>
  <c r="K126" i="19"/>
  <c r="K127" i="19" s="1"/>
  <c r="J126" i="19"/>
  <c r="J127" i="19" s="1"/>
  <c r="I126" i="19"/>
  <c r="I127" i="19" s="1"/>
  <c r="H126" i="19"/>
  <c r="H127" i="19" s="1"/>
  <c r="G126" i="19"/>
  <c r="G127" i="19" s="1"/>
  <c r="F126" i="19"/>
  <c r="F127" i="19" s="1"/>
  <c r="E126" i="19"/>
  <c r="E127" i="19" s="1"/>
  <c r="D126" i="19"/>
  <c r="AA126" i="19" s="1"/>
  <c r="AA127" i="19" s="1"/>
  <c r="V109" i="19"/>
  <c r="R109" i="19"/>
  <c r="F109" i="19"/>
  <c r="D109" i="19"/>
  <c r="C89" i="19"/>
  <c r="D89" i="19"/>
  <c r="E89" i="19"/>
  <c r="E109" i="19" s="1"/>
  <c r="F89" i="19"/>
  <c r="G89" i="19"/>
  <c r="G109" i="19" s="1"/>
  <c r="H89" i="19"/>
  <c r="H109" i="19" s="1"/>
  <c r="I89" i="19"/>
  <c r="I109" i="19" s="1"/>
  <c r="J89" i="19"/>
  <c r="J109" i="19" s="1"/>
  <c r="K89" i="19"/>
  <c r="K109" i="19" s="1"/>
  <c r="L89" i="19"/>
  <c r="L109" i="19" s="1"/>
  <c r="M89" i="19"/>
  <c r="M109" i="19" s="1"/>
  <c r="N89" i="19"/>
  <c r="N109" i="19" s="1"/>
  <c r="O89" i="19"/>
  <c r="O109" i="19" s="1"/>
  <c r="P89" i="19"/>
  <c r="P109" i="19" s="1"/>
  <c r="Q89" i="19"/>
  <c r="Q109" i="19" s="1"/>
  <c r="R89" i="19"/>
  <c r="S89" i="19"/>
  <c r="S109" i="19" s="1"/>
  <c r="T89" i="19"/>
  <c r="U89" i="19"/>
  <c r="U109" i="19" s="1"/>
  <c r="V89" i="19"/>
  <c r="W89" i="19"/>
  <c r="W109" i="19" s="1"/>
  <c r="X89" i="19"/>
  <c r="X109" i="19" s="1"/>
  <c r="Y89" i="19"/>
  <c r="Y109" i="19" s="1"/>
  <c r="AA89" i="19"/>
  <c r="AB89" i="19"/>
  <c r="AC89" i="19"/>
  <c r="AD89" i="19"/>
  <c r="AE89" i="19"/>
  <c r="AF89" i="19"/>
  <c r="AG89" i="19"/>
  <c r="AH89" i="19"/>
  <c r="AI89" i="19"/>
  <c r="AJ89" i="19"/>
  <c r="AK89" i="19"/>
  <c r="AL89" i="19"/>
  <c r="AM89" i="19"/>
  <c r="AN89" i="19"/>
  <c r="AO89" i="19"/>
  <c r="AP89" i="19"/>
  <c r="AQ89" i="19"/>
  <c r="AR89" i="19"/>
  <c r="AS89" i="19"/>
  <c r="AT89" i="19"/>
  <c r="AU89" i="19"/>
  <c r="AV89" i="19"/>
  <c r="AW89" i="19"/>
  <c r="AY89" i="19"/>
  <c r="AZ89" i="19"/>
  <c r="BA89" i="19"/>
  <c r="BB89" i="19"/>
  <c r="BC89" i="19"/>
  <c r="BD89" i="19"/>
  <c r="BE89" i="19"/>
  <c r="BF89" i="19"/>
  <c r="BG89" i="19"/>
  <c r="BH89" i="19"/>
  <c r="BI89" i="19"/>
  <c r="BJ89" i="19"/>
  <c r="BK89" i="19"/>
  <c r="BL89" i="19"/>
  <c r="BM89" i="19"/>
  <c r="BN89" i="19"/>
  <c r="BO89" i="19"/>
  <c r="BP89" i="19"/>
  <c r="T109" i="19" s="1"/>
  <c r="BQ89" i="19"/>
  <c r="BR89" i="19"/>
  <c r="BS89" i="19"/>
  <c r="BT89" i="19"/>
  <c r="BU89" i="19"/>
  <c r="Q20" i="9" l="1"/>
  <c r="R19" i="9"/>
  <c r="D127" i="19"/>
  <c r="N127" i="19"/>
  <c r="R20" i="9" l="1"/>
  <c r="Q21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Q22" i="9" l="1"/>
  <c r="R21" i="9"/>
  <c r="E26" i="9"/>
  <c r="R22" i="9" l="1"/>
  <c r="Q23" i="9"/>
  <c r="I16" i="9"/>
  <c r="R23" i="9" l="1"/>
  <c r="Q24" i="9"/>
  <c r="AW83" i="19"/>
  <c r="AV83" i="19"/>
  <c r="AU83" i="19"/>
  <c r="AT83" i="19"/>
  <c r="AS83" i="19"/>
  <c r="AR83" i="19"/>
  <c r="AQ83" i="19"/>
  <c r="AP83" i="19"/>
  <c r="AO83" i="19"/>
  <c r="AN83" i="19"/>
  <c r="AM83" i="19"/>
  <c r="AL83" i="19"/>
  <c r="AK83" i="19"/>
  <c r="AJ83" i="19"/>
  <c r="AI83" i="19"/>
  <c r="AH83" i="19"/>
  <c r="AG83" i="19"/>
  <c r="AF83" i="19"/>
  <c r="AE83" i="19"/>
  <c r="AD83" i="19"/>
  <c r="AC83" i="19"/>
  <c r="AB83" i="19"/>
  <c r="AA83" i="19"/>
  <c r="Y83" i="19"/>
  <c r="X83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Q25" i="9" l="1"/>
  <c r="R24" i="9"/>
  <c r="C6" i="21"/>
  <c r="C7" i="21" s="1"/>
  <c r="C8" i="21" s="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Q26" i="9" l="1"/>
  <c r="R25" i="9"/>
  <c r="E27" i="21"/>
  <c r="B27" i="21"/>
  <c r="E26" i="21"/>
  <c r="B26" i="21"/>
  <c r="E25" i="21"/>
  <c r="B25" i="21"/>
  <c r="E24" i="21"/>
  <c r="B24" i="21"/>
  <c r="D24" i="21" s="1"/>
  <c r="E23" i="21"/>
  <c r="B23" i="21"/>
  <c r="E22" i="21"/>
  <c r="B22" i="21"/>
  <c r="E21" i="21"/>
  <c r="B21" i="21"/>
  <c r="E20" i="21"/>
  <c r="B20" i="21"/>
  <c r="E19" i="21"/>
  <c r="B19" i="21"/>
  <c r="D19" i="21" s="1"/>
  <c r="E18" i="21"/>
  <c r="B18" i="21"/>
  <c r="E17" i="21"/>
  <c r="B17" i="21"/>
  <c r="E16" i="21"/>
  <c r="B16" i="21"/>
  <c r="E15" i="21"/>
  <c r="B15" i="21"/>
  <c r="D15" i="21" s="1"/>
  <c r="E14" i="21"/>
  <c r="B14" i="21"/>
  <c r="E13" i="21"/>
  <c r="B13" i="21"/>
  <c r="E12" i="21"/>
  <c r="B12" i="21"/>
  <c r="E11" i="21"/>
  <c r="B11" i="21"/>
  <c r="D11" i="21" s="1"/>
  <c r="E10" i="21"/>
  <c r="B10" i="21"/>
  <c r="E9" i="21"/>
  <c r="B9" i="21"/>
  <c r="E8" i="21"/>
  <c r="B8" i="21"/>
  <c r="E7" i="21"/>
  <c r="B7" i="21"/>
  <c r="D7" i="21" s="1"/>
  <c r="F7" i="21" s="1"/>
  <c r="E6" i="21"/>
  <c r="B6" i="21"/>
  <c r="D6" i="21" s="1"/>
  <c r="E5" i="21"/>
  <c r="B5" i="21"/>
  <c r="D5" i="21" s="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R26" i="9" l="1"/>
  <c r="F5" i="21"/>
  <c r="F15" i="21"/>
  <c r="H22" i="21"/>
  <c r="H12" i="21"/>
  <c r="H13" i="21"/>
  <c r="H17" i="21"/>
  <c r="H23" i="21"/>
  <c r="H8" i="21"/>
  <c r="H9" i="21"/>
  <c r="H18" i="21"/>
  <c r="H26" i="21"/>
  <c r="H21" i="21"/>
  <c r="H7" i="21"/>
  <c r="H16" i="21"/>
  <c r="H10" i="21"/>
  <c r="F11" i="21"/>
  <c r="F19" i="21"/>
  <c r="H20" i="21"/>
  <c r="H14" i="21"/>
  <c r="H15" i="21"/>
  <c r="F24" i="21"/>
  <c r="H24" i="21"/>
  <c r="D29" i="21"/>
  <c r="H25" i="21"/>
  <c r="H11" i="21"/>
  <c r="I15" i="21" s="1"/>
  <c r="M5" i="21" s="1"/>
  <c r="H19" i="21"/>
  <c r="F6" i="21"/>
  <c r="D16" i="21"/>
  <c r="F16" i="21" s="1"/>
  <c r="D20" i="21"/>
  <c r="F20" i="21" s="1"/>
  <c r="D9" i="21"/>
  <c r="F9" i="21" s="1"/>
  <c r="D13" i="21"/>
  <c r="F13" i="21" s="1"/>
  <c r="D17" i="21"/>
  <c r="F17" i="21" s="1"/>
  <c r="D21" i="21"/>
  <c r="F21" i="21" s="1"/>
  <c r="D25" i="21"/>
  <c r="D30" i="21" s="1"/>
  <c r="D8" i="21"/>
  <c r="F8" i="21" s="1"/>
  <c r="D10" i="21"/>
  <c r="F10" i="21" s="1"/>
  <c r="D14" i="21"/>
  <c r="F14" i="21" s="1"/>
  <c r="D18" i="21"/>
  <c r="F18" i="21" s="1"/>
  <c r="D22" i="21"/>
  <c r="F22" i="21" s="1"/>
  <c r="D26" i="21"/>
  <c r="F26" i="21" s="1"/>
  <c r="D12" i="21"/>
  <c r="F12" i="21" s="1"/>
  <c r="D23" i="21"/>
  <c r="F23" i="21" s="1"/>
  <c r="D27" i="21"/>
  <c r="F27" i="21" s="1"/>
  <c r="C15" i="11"/>
  <c r="D15" i="11"/>
  <c r="E15" i="11"/>
  <c r="E18" i="11" s="1"/>
  <c r="F15" i="11"/>
  <c r="F18" i="11" s="1"/>
  <c r="G15" i="11"/>
  <c r="H15" i="11"/>
  <c r="I15" i="11"/>
  <c r="J15" i="11"/>
  <c r="K15" i="11"/>
  <c r="L15" i="11"/>
  <c r="M15" i="11"/>
  <c r="N15" i="11"/>
  <c r="O15" i="11"/>
  <c r="P15" i="11"/>
  <c r="Q15" i="11"/>
  <c r="Q18" i="11" s="1"/>
  <c r="R15" i="11"/>
  <c r="R18" i="11" s="1"/>
  <c r="S15" i="11"/>
  <c r="T15" i="11"/>
  <c r="U15" i="11"/>
  <c r="U18" i="11" s="1"/>
  <c r="V15" i="11"/>
  <c r="V18" i="11" s="1"/>
  <c r="W15" i="11"/>
  <c r="X15" i="11"/>
  <c r="Y15" i="11"/>
  <c r="C16" i="11"/>
  <c r="D16" i="11"/>
  <c r="E16" i="11"/>
  <c r="F16" i="11"/>
  <c r="G16" i="11"/>
  <c r="H16" i="11"/>
  <c r="I16" i="11"/>
  <c r="J16" i="11"/>
  <c r="K16" i="11"/>
  <c r="L16" i="11"/>
  <c r="M16" i="11"/>
  <c r="M18" i="11" s="1"/>
  <c r="N16" i="11"/>
  <c r="O16" i="11"/>
  <c r="P16" i="11"/>
  <c r="Q16" i="11"/>
  <c r="R16" i="11"/>
  <c r="S16" i="11"/>
  <c r="T16" i="11"/>
  <c r="U16" i="11"/>
  <c r="V16" i="11"/>
  <c r="W16" i="11"/>
  <c r="X16" i="11"/>
  <c r="Y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W18" i="11" l="1"/>
  <c r="G18" i="11"/>
  <c r="I27" i="21"/>
  <c r="G11" i="21"/>
  <c r="L6" i="21" s="1"/>
  <c r="I23" i="21"/>
  <c r="O5" i="21" s="1"/>
  <c r="P18" i="11"/>
  <c r="N18" i="11"/>
  <c r="Y18" i="11"/>
  <c r="I18" i="11"/>
  <c r="O18" i="11"/>
  <c r="X18" i="11"/>
  <c r="H18" i="11"/>
  <c r="T18" i="11"/>
  <c r="D18" i="11"/>
  <c r="K18" i="11"/>
  <c r="L18" i="11"/>
  <c r="F25" i="21"/>
  <c r="G27" i="21" s="1"/>
  <c r="I11" i="21"/>
  <c r="L5" i="21" s="1"/>
  <c r="D31" i="21"/>
  <c r="D32" i="21"/>
  <c r="I19" i="21"/>
  <c r="N5" i="21" s="1"/>
  <c r="G23" i="21"/>
  <c r="O6" i="21" s="1"/>
  <c r="G19" i="21"/>
  <c r="N6" i="21" s="1"/>
  <c r="N7" i="21" s="1"/>
  <c r="G15" i="21"/>
  <c r="M6" i="21" s="1"/>
  <c r="M7" i="21" s="1"/>
  <c r="P5" i="21"/>
  <c r="S18" i="11"/>
  <c r="C18" i="11"/>
  <c r="J18" i="11"/>
  <c r="O7" i="21" l="1"/>
  <c r="P6" i="21"/>
  <c r="P7" i="21" s="1"/>
  <c r="L7" i="21"/>
  <c r="BU76" i="19"/>
  <c r="BT76" i="19"/>
  <c r="BS76" i="19"/>
  <c r="BR76" i="19"/>
  <c r="BQ76" i="19"/>
  <c r="BP76" i="19"/>
  <c r="BO76" i="19"/>
  <c r="BN76" i="19"/>
  <c r="BM76" i="19"/>
  <c r="BL76" i="19"/>
  <c r="BK76" i="19"/>
  <c r="BJ76" i="19"/>
  <c r="BI76" i="19"/>
  <c r="BH76" i="19"/>
  <c r="BH91" i="19" s="1"/>
  <c r="BG76" i="19"/>
  <c r="BF76" i="19"/>
  <c r="BE76" i="19"/>
  <c r="BD76" i="19"/>
  <c r="BC76" i="19"/>
  <c r="BB76" i="19"/>
  <c r="BA76" i="19"/>
  <c r="AZ76" i="19"/>
  <c r="AY76" i="19"/>
  <c r="BU78" i="19"/>
  <c r="BT78" i="19"/>
  <c r="BS78" i="19"/>
  <c r="BR78" i="19"/>
  <c r="BQ78" i="19"/>
  <c r="BP78" i="19"/>
  <c r="BO78" i="19"/>
  <c r="BN78" i="19"/>
  <c r="BM78" i="19"/>
  <c r="BL78" i="19"/>
  <c r="BK78" i="19"/>
  <c r="BJ78" i="19"/>
  <c r="BI78" i="19"/>
  <c r="BH78" i="19"/>
  <c r="BG78" i="19"/>
  <c r="BF78" i="19"/>
  <c r="BE78" i="19"/>
  <c r="BD78" i="19"/>
  <c r="BC78" i="19"/>
  <c r="BB78" i="19"/>
  <c r="BA78" i="19"/>
  <c r="AZ78" i="19"/>
  <c r="AY78" i="19"/>
  <c r="BU88" i="19"/>
  <c r="BT88" i="19"/>
  <c r="BS88" i="19"/>
  <c r="BR88" i="19"/>
  <c r="BQ88" i="19"/>
  <c r="BP88" i="19"/>
  <c r="BO88" i="19"/>
  <c r="BN88" i="19"/>
  <c r="BM88" i="19"/>
  <c r="BL88" i="19"/>
  <c r="BK88" i="19"/>
  <c r="BJ88" i="19"/>
  <c r="BI88" i="19"/>
  <c r="BH88" i="19"/>
  <c r="BG88" i="19"/>
  <c r="BF88" i="19"/>
  <c r="BE88" i="19"/>
  <c r="BD88" i="19"/>
  <c r="BC88" i="19"/>
  <c r="BB88" i="19"/>
  <c r="BA88" i="19"/>
  <c r="AZ88" i="19"/>
  <c r="AY88" i="19"/>
  <c r="BU87" i="19"/>
  <c r="BT87" i="19"/>
  <c r="BS87" i="19"/>
  <c r="BR87" i="19"/>
  <c r="BQ87" i="19"/>
  <c r="BP87" i="19"/>
  <c r="BO87" i="19"/>
  <c r="BN87" i="19"/>
  <c r="BM87" i="19"/>
  <c r="BL87" i="19"/>
  <c r="BK87" i="19"/>
  <c r="BJ87" i="19"/>
  <c r="BI87" i="19"/>
  <c r="BH87" i="19"/>
  <c r="BG87" i="19"/>
  <c r="BF87" i="19"/>
  <c r="BE87" i="19"/>
  <c r="BD87" i="19"/>
  <c r="BC87" i="19"/>
  <c r="BB87" i="19"/>
  <c r="BA87" i="19"/>
  <c r="AZ87" i="19"/>
  <c r="AY87" i="19"/>
  <c r="BU86" i="19"/>
  <c r="BT86" i="19"/>
  <c r="BS86" i="19"/>
  <c r="BR86" i="19"/>
  <c r="BQ86" i="19"/>
  <c r="BP86" i="19"/>
  <c r="BO86" i="19"/>
  <c r="BN86" i="19"/>
  <c r="BM86" i="19"/>
  <c r="BL86" i="19"/>
  <c r="BK86" i="19"/>
  <c r="BJ86" i="19"/>
  <c r="BI86" i="19"/>
  <c r="BH86" i="19"/>
  <c r="BG86" i="19"/>
  <c r="BF86" i="19"/>
  <c r="BE86" i="19"/>
  <c r="BD86" i="19"/>
  <c r="BC86" i="19"/>
  <c r="BB86" i="19"/>
  <c r="BA86" i="19"/>
  <c r="AZ86" i="19"/>
  <c r="AY86" i="19"/>
  <c r="BU85" i="19"/>
  <c r="BT85" i="19"/>
  <c r="BS85" i="19"/>
  <c r="BR85" i="19"/>
  <c r="BQ85" i="19"/>
  <c r="BP85" i="19"/>
  <c r="BO85" i="19"/>
  <c r="BN85" i="19"/>
  <c r="BM85" i="19"/>
  <c r="BL85" i="19"/>
  <c r="BK85" i="19"/>
  <c r="BJ85" i="19"/>
  <c r="BI85" i="19"/>
  <c r="BH85" i="19"/>
  <c r="BG85" i="19"/>
  <c r="BF85" i="19"/>
  <c r="BE85" i="19"/>
  <c r="BD85" i="19"/>
  <c r="BC85" i="19"/>
  <c r="BB85" i="19"/>
  <c r="BA85" i="19"/>
  <c r="AZ85" i="19"/>
  <c r="AY85" i="19"/>
  <c r="BU84" i="19"/>
  <c r="BT84" i="19"/>
  <c r="BS84" i="19"/>
  <c r="BR84" i="19"/>
  <c r="BQ84" i="19"/>
  <c r="BP84" i="19"/>
  <c r="BO84" i="19"/>
  <c r="BN84" i="19"/>
  <c r="BM84" i="19"/>
  <c r="BL84" i="19"/>
  <c r="BK84" i="19"/>
  <c r="BJ84" i="19"/>
  <c r="BI84" i="19"/>
  <c r="BH84" i="19"/>
  <c r="BG84" i="19"/>
  <c r="BF84" i="19"/>
  <c r="BE84" i="19"/>
  <c r="BD84" i="19"/>
  <c r="BC84" i="19"/>
  <c r="BB84" i="19"/>
  <c r="BA84" i="19"/>
  <c r="AZ84" i="19"/>
  <c r="AY84" i="19"/>
  <c r="BU82" i="19"/>
  <c r="BT82" i="19"/>
  <c r="BS82" i="19"/>
  <c r="BR82" i="19"/>
  <c r="BQ82" i="19"/>
  <c r="BP82" i="19"/>
  <c r="BO82" i="19"/>
  <c r="BN82" i="19"/>
  <c r="BM82" i="19"/>
  <c r="BL82" i="19"/>
  <c r="BK82" i="19"/>
  <c r="BJ82" i="19"/>
  <c r="BI82" i="19"/>
  <c r="BH82" i="19"/>
  <c r="BG82" i="19"/>
  <c r="BF82" i="19"/>
  <c r="BE82" i="19"/>
  <c r="BD82" i="19"/>
  <c r="BC82" i="19"/>
  <c r="BB82" i="19"/>
  <c r="BA82" i="19"/>
  <c r="AZ82" i="19"/>
  <c r="AY82" i="19"/>
  <c r="BU81" i="19"/>
  <c r="BT81" i="19"/>
  <c r="BS81" i="19"/>
  <c r="BR81" i="19"/>
  <c r="BQ81" i="19"/>
  <c r="BP81" i="19"/>
  <c r="BO81" i="19"/>
  <c r="BN81" i="19"/>
  <c r="BM81" i="19"/>
  <c r="BL81" i="19"/>
  <c r="BK81" i="19"/>
  <c r="BJ81" i="19"/>
  <c r="BI81" i="19"/>
  <c r="BH81" i="19"/>
  <c r="BG81" i="19"/>
  <c r="BF81" i="19"/>
  <c r="BE81" i="19"/>
  <c r="BD81" i="19"/>
  <c r="BC81" i="19"/>
  <c r="BB81" i="19"/>
  <c r="BA81" i="19"/>
  <c r="AZ81" i="19"/>
  <c r="AY81" i="19"/>
  <c r="BU80" i="19"/>
  <c r="BT80" i="19"/>
  <c r="BS80" i="19"/>
  <c r="BR80" i="19"/>
  <c r="BQ80" i="19"/>
  <c r="BP80" i="19"/>
  <c r="BO80" i="19"/>
  <c r="BN80" i="19"/>
  <c r="BM80" i="19"/>
  <c r="BL80" i="19"/>
  <c r="BK80" i="19"/>
  <c r="BJ80" i="19"/>
  <c r="BI80" i="19"/>
  <c r="BH80" i="19"/>
  <c r="BG80" i="19"/>
  <c r="BF80" i="19"/>
  <c r="BE80" i="19"/>
  <c r="BD80" i="19"/>
  <c r="BC80" i="19"/>
  <c r="BB80" i="19"/>
  <c r="BA80" i="19"/>
  <c r="AZ80" i="19"/>
  <c r="AY80" i="19"/>
  <c r="BU79" i="19"/>
  <c r="BT79" i="19"/>
  <c r="BS79" i="19"/>
  <c r="BR79" i="19"/>
  <c r="BQ79" i="19"/>
  <c r="BP79" i="19"/>
  <c r="BO79" i="19"/>
  <c r="BN79" i="19"/>
  <c r="BM79" i="19"/>
  <c r="BL79" i="19"/>
  <c r="BK79" i="19"/>
  <c r="BJ79" i="19"/>
  <c r="BI79" i="19"/>
  <c r="BH79" i="19"/>
  <c r="BG79" i="19"/>
  <c r="BF79" i="19"/>
  <c r="BE79" i="19"/>
  <c r="BD79" i="19"/>
  <c r="BC79" i="19"/>
  <c r="BB79" i="19"/>
  <c r="BA79" i="19"/>
  <c r="AZ79" i="19"/>
  <c r="AY79" i="19"/>
  <c r="BU77" i="19"/>
  <c r="BT77" i="19"/>
  <c r="BS77" i="19"/>
  <c r="BR77" i="19"/>
  <c r="BQ77" i="19"/>
  <c r="BP77" i="19"/>
  <c r="BO77" i="19"/>
  <c r="BN77" i="19"/>
  <c r="BM77" i="19"/>
  <c r="BL77" i="19"/>
  <c r="BK77" i="19"/>
  <c r="BJ77" i="19"/>
  <c r="BI77" i="19"/>
  <c r="BH77" i="19"/>
  <c r="BG77" i="19"/>
  <c r="BF77" i="19"/>
  <c r="BE77" i="19"/>
  <c r="BD77" i="19"/>
  <c r="BC77" i="19"/>
  <c r="BB77" i="19"/>
  <c r="BA77" i="19"/>
  <c r="AZ77" i="19"/>
  <c r="AY77" i="19"/>
  <c r="AW76" i="19"/>
  <c r="AV76" i="19"/>
  <c r="AU76" i="19"/>
  <c r="AT76" i="19"/>
  <c r="AS76" i="19"/>
  <c r="AR76" i="19"/>
  <c r="AQ76" i="19"/>
  <c r="AP76" i="19"/>
  <c r="AO76" i="19"/>
  <c r="AN76" i="19"/>
  <c r="AM76" i="19"/>
  <c r="AL76" i="19"/>
  <c r="AK76" i="19"/>
  <c r="AJ76" i="19"/>
  <c r="AI76" i="19"/>
  <c r="AH76" i="19"/>
  <c r="AG76" i="19"/>
  <c r="AF76" i="19"/>
  <c r="AE76" i="19"/>
  <c r="AD76" i="19"/>
  <c r="AC76" i="19"/>
  <c r="AB76" i="19"/>
  <c r="AA76" i="19"/>
  <c r="AW78" i="19"/>
  <c r="AV78" i="19"/>
  <c r="AU78" i="19"/>
  <c r="AT78" i="19"/>
  <c r="AS78" i="19"/>
  <c r="AR78" i="19"/>
  <c r="AQ78" i="19"/>
  <c r="AP78" i="19"/>
  <c r="AO78" i="19"/>
  <c r="AN78" i="19"/>
  <c r="AM78" i="19"/>
  <c r="AL78" i="19"/>
  <c r="AK78" i="19"/>
  <c r="AJ78" i="19"/>
  <c r="AI78" i="19"/>
  <c r="AH78" i="19"/>
  <c r="AG78" i="19"/>
  <c r="AF78" i="19"/>
  <c r="AE78" i="19"/>
  <c r="AD78" i="19"/>
  <c r="AC78" i="19"/>
  <c r="AB78" i="19"/>
  <c r="AA78" i="19"/>
  <c r="AW88" i="19"/>
  <c r="AV88" i="19"/>
  <c r="AU88" i="19"/>
  <c r="AT88" i="19"/>
  <c r="AS88" i="19"/>
  <c r="AR88" i="19"/>
  <c r="AQ88" i="19"/>
  <c r="AP88" i="19"/>
  <c r="AO88" i="19"/>
  <c r="AN88" i="19"/>
  <c r="AM88" i="19"/>
  <c r="AL88" i="19"/>
  <c r="AK88" i="19"/>
  <c r="AJ88" i="19"/>
  <c r="AI88" i="19"/>
  <c r="AH88" i="19"/>
  <c r="AG88" i="19"/>
  <c r="AF88" i="19"/>
  <c r="AE88" i="19"/>
  <c r="AD88" i="19"/>
  <c r="AC88" i="19"/>
  <c r="AB88" i="19"/>
  <c r="AA88" i="19"/>
  <c r="AW87" i="19"/>
  <c r="AV87" i="19"/>
  <c r="AU87" i="19"/>
  <c r="AT87" i="19"/>
  <c r="AS87" i="19"/>
  <c r="AR87" i="19"/>
  <c r="AQ87" i="19"/>
  <c r="AP87" i="19"/>
  <c r="AO87" i="19"/>
  <c r="AN87" i="19"/>
  <c r="AM87" i="19"/>
  <c r="AL87" i="19"/>
  <c r="AK87" i="19"/>
  <c r="AJ87" i="19"/>
  <c r="AI87" i="19"/>
  <c r="AH87" i="19"/>
  <c r="AG87" i="19"/>
  <c r="AF87" i="19"/>
  <c r="AE87" i="19"/>
  <c r="AD87" i="19"/>
  <c r="AC87" i="19"/>
  <c r="AB87" i="19"/>
  <c r="AA87" i="19"/>
  <c r="AW86" i="19"/>
  <c r="AV86" i="19"/>
  <c r="AU86" i="19"/>
  <c r="AT86" i="19"/>
  <c r="AS86" i="19"/>
  <c r="AR86" i="19"/>
  <c r="AQ86" i="19"/>
  <c r="AP86" i="19"/>
  <c r="AO86" i="19"/>
  <c r="AN86" i="19"/>
  <c r="AM86" i="19"/>
  <c r="AL86" i="19"/>
  <c r="AK86" i="19"/>
  <c r="AJ86" i="19"/>
  <c r="AI86" i="19"/>
  <c r="AH86" i="19"/>
  <c r="AG86" i="19"/>
  <c r="AF86" i="19"/>
  <c r="AE86" i="19"/>
  <c r="AD86" i="19"/>
  <c r="AC86" i="19"/>
  <c r="AB86" i="19"/>
  <c r="AA86" i="19"/>
  <c r="AW85" i="19"/>
  <c r="AV85" i="19"/>
  <c r="AU85" i="19"/>
  <c r="AT85" i="19"/>
  <c r="AS85" i="19"/>
  <c r="AR85" i="19"/>
  <c r="AQ85" i="19"/>
  <c r="AP85" i="19"/>
  <c r="AO85" i="19"/>
  <c r="AN85" i="19"/>
  <c r="AM85" i="19"/>
  <c r="AL85" i="19"/>
  <c r="AK85" i="19"/>
  <c r="AJ85" i="19"/>
  <c r="AI85" i="19"/>
  <c r="AH85" i="19"/>
  <c r="AG85" i="19"/>
  <c r="AF85" i="19"/>
  <c r="AE85" i="19"/>
  <c r="AD85" i="19"/>
  <c r="AC85" i="19"/>
  <c r="AB85" i="19"/>
  <c r="AA85" i="19"/>
  <c r="AW84" i="19"/>
  <c r="AV84" i="19"/>
  <c r="AU84" i="19"/>
  <c r="AT84" i="19"/>
  <c r="AS84" i="19"/>
  <c r="AR84" i="19"/>
  <c r="AQ84" i="19"/>
  <c r="AP84" i="19"/>
  <c r="AO84" i="19"/>
  <c r="AN84" i="19"/>
  <c r="AM84" i="19"/>
  <c r="AL84" i="19"/>
  <c r="AK84" i="19"/>
  <c r="AJ84" i="19"/>
  <c r="AI84" i="19"/>
  <c r="AH84" i="19"/>
  <c r="AG84" i="19"/>
  <c r="AF84" i="19"/>
  <c r="AE84" i="19"/>
  <c r="AD84" i="19"/>
  <c r="AC84" i="19"/>
  <c r="AB84" i="19"/>
  <c r="AA84" i="19"/>
  <c r="AW82" i="19"/>
  <c r="AV82" i="19"/>
  <c r="AU82" i="19"/>
  <c r="AT82" i="19"/>
  <c r="AS82" i="19"/>
  <c r="AR82" i="19"/>
  <c r="AQ82" i="19"/>
  <c r="AP82" i="19"/>
  <c r="AO82" i="19"/>
  <c r="AN82" i="19"/>
  <c r="AM82" i="19"/>
  <c r="AL82" i="19"/>
  <c r="AK82" i="19"/>
  <c r="AJ82" i="19"/>
  <c r="AI82" i="19"/>
  <c r="AH82" i="19"/>
  <c r="AG82" i="19"/>
  <c r="AF82" i="19"/>
  <c r="AE82" i="19"/>
  <c r="AD82" i="19"/>
  <c r="AC82" i="19"/>
  <c r="AB82" i="19"/>
  <c r="AA82" i="19"/>
  <c r="AW81" i="19"/>
  <c r="AV81" i="19"/>
  <c r="AU81" i="19"/>
  <c r="AT81" i="19"/>
  <c r="AS81" i="19"/>
  <c r="AR81" i="19"/>
  <c r="AQ81" i="19"/>
  <c r="AP81" i="19"/>
  <c r="AO81" i="19"/>
  <c r="AN81" i="19"/>
  <c r="AM81" i="19"/>
  <c r="AL81" i="19"/>
  <c r="AK81" i="19"/>
  <c r="AJ81" i="19"/>
  <c r="AI81" i="19"/>
  <c r="AH81" i="19"/>
  <c r="AG81" i="19"/>
  <c r="AF81" i="19"/>
  <c r="AE81" i="19"/>
  <c r="AD81" i="19"/>
  <c r="AC81" i="19"/>
  <c r="AB81" i="19"/>
  <c r="AA81" i="19"/>
  <c r="AW80" i="19"/>
  <c r="AV80" i="19"/>
  <c r="AU80" i="19"/>
  <c r="AT80" i="19"/>
  <c r="AS80" i="19"/>
  <c r="AR80" i="19"/>
  <c r="AQ80" i="19"/>
  <c r="AP80" i="19"/>
  <c r="AO80" i="19"/>
  <c r="AN80" i="19"/>
  <c r="AM80" i="19"/>
  <c r="AL80" i="19"/>
  <c r="AK80" i="19"/>
  <c r="AJ80" i="19"/>
  <c r="AI80" i="19"/>
  <c r="AH80" i="19"/>
  <c r="AG80" i="19"/>
  <c r="AF80" i="19"/>
  <c r="AE80" i="19"/>
  <c r="AD80" i="19"/>
  <c r="AC80" i="19"/>
  <c r="AB80" i="19"/>
  <c r="AA80" i="19"/>
  <c r="AW79" i="19"/>
  <c r="AV79" i="19"/>
  <c r="AU79" i="19"/>
  <c r="AT79" i="19"/>
  <c r="AS79" i="19"/>
  <c r="AR79" i="19"/>
  <c r="AQ79" i="19"/>
  <c r="AP79" i="19"/>
  <c r="AO79" i="19"/>
  <c r="AN79" i="19"/>
  <c r="AM79" i="19"/>
  <c r="AL79" i="19"/>
  <c r="AK79" i="19"/>
  <c r="AJ79" i="19"/>
  <c r="AI79" i="19"/>
  <c r="AH79" i="19"/>
  <c r="AG79" i="19"/>
  <c r="AF79" i="19"/>
  <c r="AE79" i="19"/>
  <c r="AD79" i="19"/>
  <c r="AC79" i="19"/>
  <c r="AB79" i="19"/>
  <c r="AA79" i="19"/>
  <c r="AW77" i="19"/>
  <c r="AV77" i="19"/>
  <c r="AU77" i="19"/>
  <c r="AT77" i="19"/>
  <c r="AS77" i="19"/>
  <c r="AR77" i="19"/>
  <c r="AQ77" i="19"/>
  <c r="AP77" i="19"/>
  <c r="AO77" i="19"/>
  <c r="AN77" i="19"/>
  <c r="AM77" i="19"/>
  <c r="AL77" i="19"/>
  <c r="AK77" i="19"/>
  <c r="AJ77" i="19"/>
  <c r="AI77" i="19"/>
  <c r="AH77" i="19"/>
  <c r="AG77" i="19"/>
  <c r="AF77" i="19"/>
  <c r="AE77" i="19"/>
  <c r="AD77" i="19"/>
  <c r="AC77" i="19"/>
  <c r="AB77" i="19"/>
  <c r="AA77" i="19"/>
  <c r="P87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Y78" i="19"/>
  <c r="Y98" i="19" s="1"/>
  <c r="X78" i="19"/>
  <c r="X98" i="19" s="1"/>
  <c r="W78" i="19"/>
  <c r="V78" i="19"/>
  <c r="U78" i="19"/>
  <c r="T78" i="19"/>
  <c r="T98" i="19" s="1"/>
  <c r="S78" i="19"/>
  <c r="R78" i="19"/>
  <c r="Q78" i="19"/>
  <c r="Q98" i="19" s="1"/>
  <c r="P78" i="19"/>
  <c r="P98" i="19" s="1"/>
  <c r="O78" i="19"/>
  <c r="O98" i="19" s="1"/>
  <c r="N78" i="19"/>
  <c r="N98" i="19" s="1"/>
  <c r="M78" i="19"/>
  <c r="M98" i="19" s="1"/>
  <c r="L78" i="19"/>
  <c r="L98" i="19" s="1"/>
  <c r="K78" i="19"/>
  <c r="J78" i="19"/>
  <c r="J98" i="19" s="1"/>
  <c r="I78" i="19"/>
  <c r="I98" i="19" s="1"/>
  <c r="H78" i="19"/>
  <c r="H98" i="19" s="1"/>
  <c r="G78" i="19"/>
  <c r="F78" i="19"/>
  <c r="E78" i="19"/>
  <c r="D78" i="19"/>
  <c r="D98" i="19" s="1"/>
  <c r="C78" i="19"/>
  <c r="Y88" i="19"/>
  <c r="X88" i="19"/>
  <c r="X108" i="19" s="1"/>
  <c r="W88" i="19"/>
  <c r="W108" i="19" s="1"/>
  <c r="V88" i="19"/>
  <c r="V108" i="19" s="1"/>
  <c r="U88" i="19"/>
  <c r="U108" i="19" s="1"/>
  <c r="T88" i="19"/>
  <c r="T108" i="19" s="1"/>
  <c r="S88" i="19"/>
  <c r="S108" i="19" s="1"/>
  <c r="R88" i="19"/>
  <c r="Q88" i="19"/>
  <c r="Q108" i="19" s="1"/>
  <c r="P88" i="19"/>
  <c r="P108" i="19" s="1"/>
  <c r="O88" i="19"/>
  <c r="O108" i="19" s="1"/>
  <c r="N88" i="19"/>
  <c r="M88" i="19"/>
  <c r="L88" i="19"/>
  <c r="K88" i="19"/>
  <c r="K108" i="19" s="1"/>
  <c r="J88" i="19"/>
  <c r="I88" i="19"/>
  <c r="H88" i="19"/>
  <c r="H108" i="19" s="1"/>
  <c r="G88" i="19"/>
  <c r="G108" i="19" s="1"/>
  <c r="F88" i="19"/>
  <c r="F108" i="19" s="1"/>
  <c r="E88" i="19"/>
  <c r="E108" i="19" s="1"/>
  <c r="D88" i="19"/>
  <c r="D108" i="19" s="1"/>
  <c r="C88" i="19"/>
  <c r="Y87" i="19"/>
  <c r="X87" i="19"/>
  <c r="X107" i="19" s="1"/>
  <c r="W87" i="19"/>
  <c r="W107" i="19" s="1"/>
  <c r="V87" i="19"/>
  <c r="V107" i="19" s="1"/>
  <c r="U87" i="19"/>
  <c r="T87" i="19"/>
  <c r="S87" i="19"/>
  <c r="R87" i="19"/>
  <c r="R107" i="19" s="1"/>
  <c r="Q87" i="19"/>
  <c r="O87" i="19"/>
  <c r="O107" i="19" s="1"/>
  <c r="N87" i="19"/>
  <c r="N107" i="19" s="1"/>
  <c r="M87" i="19"/>
  <c r="M107" i="19" s="1"/>
  <c r="L87" i="19"/>
  <c r="L107" i="19" s="1"/>
  <c r="K87" i="19"/>
  <c r="K107" i="19" s="1"/>
  <c r="J87" i="19"/>
  <c r="J107" i="19" s="1"/>
  <c r="I87" i="19"/>
  <c r="H87" i="19"/>
  <c r="H107" i="19" s="1"/>
  <c r="G87" i="19"/>
  <c r="G107" i="19" s="1"/>
  <c r="F87" i="19"/>
  <c r="F107" i="19" s="1"/>
  <c r="E87" i="19"/>
  <c r="D87" i="19"/>
  <c r="C87" i="19"/>
  <c r="Y86" i="19"/>
  <c r="Y106" i="19" s="1"/>
  <c r="X86" i="19"/>
  <c r="W86" i="19"/>
  <c r="V86" i="19"/>
  <c r="V106" i="19" s="1"/>
  <c r="U86" i="19"/>
  <c r="U106" i="19" s="1"/>
  <c r="T86" i="19"/>
  <c r="T106" i="19" s="1"/>
  <c r="S86" i="19"/>
  <c r="S106" i="19" s="1"/>
  <c r="R86" i="19"/>
  <c r="R106" i="19" s="1"/>
  <c r="Q86" i="19"/>
  <c r="Q106" i="19" s="1"/>
  <c r="P86" i="19"/>
  <c r="O86" i="19"/>
  <c r="O106" i="19" s="1"/>
  <c r="N86" i="19"/>
  <c r="N106" i="19" s="1"/>
  <c r="M86" i="19"/>
  <c r="M106" i="19" s="1"/>
  <c r="L86" i="19"/>
  <c r="K86" i="19"/>
  <c r="J86" i="19"/>
  <c r="I86" i="19"/>
  <c r="I106" i="19" s="1"/>
  <c r="H86" i="19"/>
  <c r="G86" i="19"/>
  <c r="F86" i="19"/>
  <c r="F106" i="19" s="1"/>
  <c r="E86" i="19"/>
  <c r="E106" i="19" s="1"/>
  <c r="D86" i="19"/>
  <c r="D106" i="19" s="1"/>
  <c r="C86" i="19"/>
  <c r="Y85" i="19"/>
  <c r="X85" i="19"/>
  <c r="W85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Y84" i="19"/>
  <c r="Y104" i="19" s="1"/>
  <c r="X84" i="19"/>
  <c r="X104" i="19" s="1"/>
  <c r="W84" i="19"/>
  <c r="W104" i="19" s="1"/>
  <c r="V84" i="19"/>
  <c r="V104" i="19" s="1"/>
  <c r="U84" i="19"/>
  <c r="U104" i="19" s="1"/>
  <c r="T84" i="19"/>
  <c r="T104" i="19" s="1"/>
  <c r="S84" i="19"/>
  <c r="S104" i="19" s="1"/>
  <c r="R84" i="19"/>
  <c r="R104" i="19" s="1"/>
  <c r="Q84" i="19"/>
  <c r="Q104" i="19" s="1"/>
  <c r="P84" i="19"/>
  <c r="P104" i="19" s="1"/>
  <c r="O84" i="19"/>
  <c r="N84" i="19"/>
  <c r="N104" i="19" s="1"/>
  <c r="M84" i="19"/>
  <c r="M104" i="19" s="1"/>
  <c r="L84" i="19"/>
  <c r="L104" i="19" s="1"/>
  <c r="K84" i="19"/>
  <c r="K104" i="19" s="1"/>
  <c r="J84" i="19"/>
  <c r="J104" i="19" s="1"/>
  <c r="I84" i="19"/>
  <c r="I104" i="19" s="1"/>
  <c r="H84" i="19"/>
  <c r="H104" i="19" s="1"/>
  <c r="G84" i="19"/>
  <c r="G104" i="19" s="1"/>
  <c r="F84" i="19"/>
  <c r="F104" i="19" s="1"/>
  <c r="E84" i="19"/>
  <c r="E104" i="19" s="1"/>
  <c r="D84" i="19"/>
  <c r="D104" i="19" s="1"/>
  <c r="C84" i="19"/>
  <c r="Y82" i="19"/>
  <c r="Y102" i="19" s="1"/>
  <c r="X82" i="19"/>
  <c r="X102" i="19" s="1"/>
  <c r="W82" i="19"/>
  <c r="W102" i="19" s="1"/>
  <c r="V82" i="19"/>
  <c r="V102" i="19" s="1"/>
  <c r="U82" i="19"/>
  <c r="T82" i="19"/>
  <c r="T102" i="19" s="1"/>
  <c r="S82" i="19"/>
  <c r="S102" i="19" s="1"/>
  <c r="R82" i="19"/>
  <c r="R102" i="19" s="1"/>
  <c r="Q82" i="19"/>
  <c r="P82" i="19"/>
  <c r="O82" i="19"/>
  <c r="N82" i="19"/>
  <c r="N102" i="19" s="1"/>
  <c r="M82" i="19"/>
  <c r="L82" i="19"/>
  <c r="K82" i="19"/>
  <c r="K102" i="19" s="1"/>
  <c r="J82" i="19"/>
  <c r="J102" i="19" s="1"/>
  <c r="I82" i="19"/>
  <c r="I102" i="19" s="1"/>
  <c r="H82" i="19"/>
  <c r="H102" i="19" s="1"/>
  <c r="G82" i="19"/>
  <c r="G102" i="19" s="1"/>
  <c r="F82" i="19"/>
  <c r="F102" i="19" s="1"/>
  <c r="E82" i="19"/>
  <c r="D82" i="19"/>
  <c r="D102" i="19" s="1"/>
  <c r="C82" i="19"/>
  <c r="Y81" i="19"/>
  <c r="Y101" i="19" s="1"/>
  <c r="X81" i="19"/>
  <c r="W81" i="19"/>
  <c r="V81" i="19"/>
  <c r="U81" i="19"/>
  <c r="U101" i="19" s="1"/>
  <c r="T81" i="19"/>
  <c r="S81" i="19"/>
  <c r="R81" i="19"/>
  <c r="R101" i="19" s="1"/>
  <c r="Q81" i="19"/>
  <c r="Q101" i="19" s="1"/>
  <c r="P81" i="19"/>
  <c r="P101" i="19" s="1"/>
  <c r="O81" i="19"/>
  <c r="O101" i="19" s="1"/>
  <c r="N81" i="19"/>
  <c r="N101" i="19" s="1"/>
  <c r="M81" i="19"/>
  <c r="M101" i="19" s="1"/>
  <c r="L81" i="19"/>
  <c r="K81" i="19"/>
  <c r="K101" i="19" s="1"/>
  <c r="J81" i="19"/>
  <c r="J101" i="19" s="1"/>
  <c r="I81" i="19"/>
  <c r="I101" i="19" s="1"/>
  <c r="H81" i="19"/>
  <c r="G81" i="19"/>
  <c r="F81" i="19"/>
  <c r="E81" i="19"/>
  <c r="E101" i="19" s="1"/>
  <c r="D81" i="19"/>
  <c r="C81" i="19"/>
  <c r="Y80" i="19"/>
  <c r="Y100" i="19" s="1"/>
  <c r="X80" i="19"/>
  <c r="X100" i="19" s="1"/>
  <c r="W80" i="19"/>
  <c r="W100" i="19" s="1"/>
  <c r="V80" i="19"/>
  <c r="V100" i="19" s="1"/>
  <c r="U80" i="19"/>
  <c r="U100" i="19" s="1"/>
  <c r="T80" i="19"/>
  <c r="T100" i="19" s="1"/>
  <c r="S80" i="19"/>
  <c r="R80" i="19"/>
  <c r="R100" i="19" s="1"/>
  <c r="Q80" i="19"/>
  <c r="Q100" i="19" s="1"/>
  <c r="P80" i="19"/>
  <c r="P100" i="19" s="1"/>
  <c r="O80" i="19"/>
  <c r="N80" i="19"/>
  <c r="M80" i="19"/>
  <c r="L80" i="19"/>
  <c r="L100" i="19" s="1"/>
  <c r="K80" i="19"/>
  <c r="J80" i="19"/>
  <c r="I80" i="19"/>
  <c r="I100" i="19" s="1"/>
  <c r="H80" i="19"/>
  <c r="H100" i="19" s="1"/>
  <c r="G80" i="19"/>
  <c r="G100" i="19" s="1"/>
  <c r="F80" i="19"/>
  <c r="F100" i="19" s="1"/>
  <c r="E80" i="19"/>
  <c r="E100" i="19" s="1"/>
  <c r="D80" i="19"/>
  <c r="D100" i="19" s="1"/>
  <c r="C80" i="19"/>
  <c r="Y79" i="19"/>
  <c r="Y99" i="19" s="1"/>
  <c r="X79" i="19"/>
  <c r="X99" i="19" s="1"/>
  <c r="W79" i="19"/>
  <c r="W99" i="19" s="1"/>
  <c r="V79" i="19"/>
  <c r="U79" i="19"/>
  <c r="T79" i="19"/>
  <c r="S79" i="19"/>
  <c r="S99" i="19" s="1"/>
  <c r="R79" i="19"/>
  <c r="Q79" i="19"/>
  <c r="P79" i="19"/>
  <c r="P99" i="19" s="1"/>
  <c r="O79" i="19"/>
  <c r="O99" i="19" s="1"/>
  <c r="N79" i="19"/>
  <c r="N99" i="19" s="1"/>
  <c r="M79" i="19"/>
  <c r="M99" i="19" s="1"/>
  <c r="L79" i="19"/>
  <c r="L99" i="19" s="1"/>
  <c r="K79" i="19"/>
  <c r="K99" i="19" s="1"/>
  <c r="J79" i="19"/>
  <c r="I79" i="19"/>
  <c r="I99" i="19" s="1"/>
  <c r="H79" i="19"/>
  <c r="H99" i="19" s="1"/>
  <c r="G79" i="19"/>
  <c r="G99" i="19" s="1"/>
  <c r="F79" i="19"/>
  <c r="E79" i="19"/>
  <c r="D79" i="19"/>
  <c r="C79" i="19"/>
  <c r="Y77" i="19"/>
  <c r="X77" i="19"/>
  <c r="W77" i="19"/>
  <c r="W97" i="19" s="1"/>
  <c r="V77" i="19"/>
  <c r="V97" i="19" s="1"/>
  <c r="U77" i="19"/>
  <c r="U97" i="19" s="1"/>
  <c r="T77" i="19"/>
  <c r="T97" i="19" s="1"/>
  <c r="S77" i="19"/>
  <c r="S97" i="19" s="1"/>
  <c r="R77" i="19"/>
  <c r="R97" i="19" s="1"/>
  <c r="Q77" i="19"/>
  <c r="P77" i="19"/>
  <c r="P97" i="19" s="1"/>
  <c r="O77" i="19"/>
  <c r="O97" i="19" s="1"/>
  <c r="N77" i="19"/>
  <c r="N97" i="19" s="1"/>
  <c r="M77" i="19"/>
  <c r="L77" i="19"/>
  <c r="K77" i="19"/>
  <c r="J77" i="19"/>
  <c r="J97" i="19" s="1"/>
  <c r="I77" i="19"/>
  <c r="H77" i="19"/>
  <c r="G77" i="19"/>
  <c r="G97" i="19" s="1"/>
  <c r="F77" i="19"/>
  <c r="F97" i="19" s="1"/>
  <c r="E77" i="19"/>
  <c r="E97" i="19" s="1"/>
  <c r="D77" i="19"/>
  <c r="D97" i="19" s="1"/>
  <c r="C77" i="19"/>
  <c r="G91" i="19" l="1"/>
  <c r="V91" i="19"/>
  <c r="F91" i="19"/>
  <c r="AO91" i="19"/>
  <c r="BI91" i="19"/>
  <c r="U91" i="19"/>
  <c r="E96" i="19"/>
  <c r="E91" i="19"/>
  <c r="AP91" i="19"/>
  <c r="BJ91" i="19"/>
  <c r="T91" i="19"/>
  <c r="D91" i="19"/>
  <c r="AA91" i="19"/>
  <c r="AQ91" i="19"/>
  <c r="BK91" i="19"/>
  <c r="S91" i="19"/>
  <c r="AB91" i="19"/>
  <c r="AR91" i="19"/>
  <c r="BL91" i="19"/>
  <c r="AN91" i="19"/>
  <c r="R91" i="19"/>
  <c r="AC91" i="19"/>
  <c r="AS91" i="19"/>
  <c r="BM91" i="19"/>
  <c r="Q91" i="19"/>
  <c r="AD91" i="19"/>
  <c r="AT91" i="19"/>
  <c r="BN91" i="19"/>
  <c r="P91" i="19"/>
  <c r="AE91" i="19"/>
  <c r="AU91" i="19"/>
  <c r="AY91" i="19"/>
  <c r="BO91" i="19"/>
  <c r="O91" i="19"/>
  <c r="AF91" i="19"/>
  <c r="AV91" i="19"/>
  <c r="AZ91" i="19"/>
  <c r="BP91" i="19"/>
  <c r="N91" i="19"/>
  <c r="AG91" i="19"/>
  <c r="AW91" i="19"/>
  <c r="BA91" i="19"/>
  <c r="BQ91" i="19"/>
  <c r="M91" i="19"/>
  <c r="AH91" i="19"/>
  <c r="BB91" i="19"/>
  <c r="BR91" i="19"/>
  <c r="L91" i="19"/>
  <c r="AI91" i="19"/>
  <c r="BC91" i="19"/>
  <c r="BS91" i="19"/>
  <c r="W91" i="19"/>
  <c r="K91" i="19"/>
  <c r="AJ91" i="19"/>
  <c r="BD91" i="19"/>
  <c r="BT91" i="19"/>
  <c r="J91" i="19"/>
  <c r="AK91" i="19"/>
  <c r="BE91" i="19"/>
  <c r="BU91" i="19"/>
  <c r="Y91" i="19"/>
  <c r="I91" i="19"/>
  <c r="AL91" i="19"/>
  <c r="BF91" i="19"/>
  <c r="X91" i="19"/>
  <c r="H91" i="19"/>
  <c r="AM91" i="19"/>
  <c r="BG91" i="19"/>
  <c r="O104" i="19"/>
  <c r="G103" i="19"/>
  <c r="W103" i="19"/>
  <c r="H103" i="19"/>
  <c r="X103" i="19"/>
  <c r="F103" i="19"/>
  <c r="I103" i="19"/>
  <c r="Y103" i="19"/>
  <c r="J103" i="19"/>
  <c r="V103" i="19"/>
  <c r="K103" i="19"/>
  <c r="L103" i="19"/>
  <c r="M103" i="19"/>
  <c r="N103" i="19"/>
  <c r="O103" i="19"/>
  <c r="P103" i="19"/>
  <c r="Q103" i="19"/>
  <c r="R103" i="19"/>
  <c r="S103" i="19"/>
  <c r="D103" i="19"/>
  <c r="T103" i="19"/>
  <c r="E103" i="19"/>
  <c r="U103" i="19"/>
  <c r="H105" i="19"/>
  <c r="X105" i="19"/>
  <c r="I105" i="19"/>
  <c r="Y105" i="19"/>
  <c r="J105" i="19"/>
  <c r="K105" i="19"/>
  <c r="F105" i="19"/>
  <c r="L105" i="19"/>
  <c r="M105" i="19"/>
  <c r="Q107" i="19"/>
  <c r="J108" i="19"/>
  <c r="S98" i="19"/>
  <c r="Y97" i="19"/>
  <c r="R99" i="19"/>
  <c r="K100" i="19"/>
  <c r="D101" i="19"/>
  <c r="T101" i="19"/>
  <c r="M102" i="19"/>
  <c r="O105" i="19"/>
  <c r="H106" i="19"/>
  <c r="X106" i="19"/>
  <c r="I97" i="19"/>
  <c r="P105" i="19"/>
  <c r="V105" i="19"/>
  <c r="T105" i="19"/>
  <c r="D105" i="19"/>
  <c r="E105" i="19"/>
  <c r="U105" i="19"/>
  <c r="V99" i="19"/>
  <c r="Y107" i="19"/>
  <c r="R108" i="19"/>
  <c r="K98" i="19"/>
  <c r="M97" i="19"/>
  <c r="Q102" i="19"/>
  <c r="Q97" i="19"/>
  <c r="L101" i="19"/>
  <c r="U102" i="19"/>
  <c r="G105" i="19"/>
  <c r="P106" i="19"/>
  <c r="I107" i="19"/>
  <c r="O100" i="19"/>
  <c r="S105" i="19"/>
  <c r="J99" i="19"/>
  <c r="S100" i="19"/>
  <c r="E102" i="19"/>
  <c r="W105" i="19"/>
  <c r="S107" i="19"/>
  <c r="L108" i="19"/>
  <c r="E98" i="19"/>
  <c r="U98" i="19"/>
  <c r="K97" i="19"/>
  <c r="T99" i="19"/>
  <c r="F101" i="19"/>
  <c r="Q105" i="19"/>
  <c r="D99" i="19"/>
  <c r="M100" i="19"/>
  <c r="V101" i="19"/>
  <c r="O102" i="19"/>
  <c r="J106" i="19"/>
  <c r="U107" i="19"/>
  <c r="N108" i="19"/>
  <c r="G98" i="19"/>
  <c r="W98" i="19"/>
  <c r="F99" i="19"/>
  <c r="X101" i="19"/>
  <c r="E107" i="19"/>
  <c r="H101" i="19"/>
  <c r="L106" i="19"/>
  <c r="W96" i="19"/>
  <c r="G96" i="19"/>
  <c r="V96" i="19"/>
  <c r="F96" i="19"/>
  <c r="U96" i="19"/>
  <c r="T96" i="19"/>
  <c r="D96" i="19"/>
  <c r="S96" i="19"/>
  <c r="R96" i="19"/>
  <c r="P107" i="19"/>
  <c r="I108" i="19"/>
  <c r="Y108" i="19"/>
  <c r="R98" i="19"/>
  <c r="Q96" i="19"/>
  <c r="X97" i="19"/>
  <c r="Q99" i="19"/>
  <c r="J100" i="19"/>
  <c r="S101" i="19"/>
  <c r="L102" i="19"/>
  <c r="N105" i="19"/>
  <c r="G106" i="19"/>
  <c r="W106" i="19"/>
  <c r="P96" i="19"/>
  <c r="X96" i="19"/>
  <c r="H97" i="19"/>
  <c r="N96" i="19"/>
  <c r="M96" i="19"/>
  <c r="H96" i="19"/>
  <c r="L96" i="19"/>
  <c r="K96" i="19"/>
  <c r="J96" i="19"/>
  <c r="Y96" i="19"/>
  <c r="I96" i="19"/>
  <c r="O96" i="19"/>
  <c r="T107" i="19"/>
  <c r="M108" i="19"/>
  <c r="F98" i="19"/>
  <c r="V98" i="19"/>
  <c r="E99" i="19"/>
  <c r="U99" i="19"/>
  <c r="N100" i="19"/>
  <c r="G101" i="19"/>
  <c r="W101" i="19"/>
  <c r="P102" i="19"/>
  <c r="R105" i="19"/>
  <c r="K106" i="19"/>
  <c r="D107" i="19"/>
  <c r="L97" i="19"/>
  <c r="AA105" i="19" l="1"/>
  <c r="AA104" i="19"/>
  <c r="AB104" i="19"/>
  <c r="AB97" i="19"/>
  <c r="AA98" i="19"/>
  <c r="AB100" i="19"/>
  <c r="AA107" i="19"/>
  <c r="AA102" i="19"/>
  <c r="AA100" i="19"/>
  <c r="AA99" i="19"/>
  <c r="AA108" i="19"/>
  <c r="AB103" i="19"/>
  <c r="AB106" i="19"/>
  <c r="AB108" i="19"/>
  <c r="AA96" i="19"/>
  <c r="AB107" i="19"/>
  <c r="AB96" i="19"/>
  <c r="AB105" i="19"/>
  <c r="AA103" i="19"/>
  <c r="AA97" i="19"/>
  <c r="AB98" i="19"/>
  <c r="AB99" i="19"/>
  <c r="AB101" i="19"/>
  <c r="AA106" i="19"/>
  <c r="AB102" i="19"/>
  <c r="AA101" i="19"/>
  <c r="B63" i="6"/>
  <c r="Q66" i="6" s="1"/>
  <c r="P66" i="6" l="1"/>
  <c r="O66" i="6"/>
  <c r="N66" i="6"/>
  <c r="M66" i="6"/>
  <c r="L66" i="6"/>
  <c r="K66" i="6"/>
  <c r="J66" i="6"/>
  <c r="G66" i="6"/>
  <c r="I66" i="6"/>
  <c r="H66" i="6"/>
  <c r="A157" i="8"/>
  <c r="A13" i="8" l="1"/>
  <c r="A61" i="8"/>
  <c r="A108" i="8" l="1"/>
  <c r="A107" i="8"/>
  <c r="B61" i="7"/>
  <c r="A61" i="7" s="1"/>
  <c r="AG8" i="9" l="1"/>
  <c r="D84" i="7" l="1"/>
  <c r="E84" i="7"/>
  <c r="F84" i="7"/>
  <c r="B5" i="16" s="1"/>
  <c r="G84" i="7"/>
  <c r="H84" i="7"/>
  <c r="I84" i="7"/>
  <c r="L84" i="7"/>
  <c r="M84" i="7"/>
  <c r="N84" i="7"/>
  <c r="O84" i="7"/>
  <c r="P84" i="7"/>
  <c r="Q84" i="7"/>
  <c r="B32" i="7" l="1"/>
  <c r="C3" i="6" l="1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0" i="8"/>
  <c r="A59" i="8"/>
  <c r="A58" i="8"/>
  <c r="A57" i="8"/>
  <c r="A56" i="8"/>
  <c r="A55" i="8"/>
  <c r="A54" i="8"/>
  <c r="A53" i="8"/>
  <c r="A52" i="8"/>
  <c r="A51" i="8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A4" i="20" l="1"/>
  <c r="D26" i="23" l="1"/>
  <c r="C5" i="23"/>
  <c r="C5" i="25"/>
  <c r="D25" i="23"/>
  <c r="D5" i="25"/>
  <c r="E5" i="25"/>
  <c r="D5" i="23"/>
  <c r="C25" i="23"/>
  <c r="C46" i="23"/>
  <c r="D46" i="23"/>
  <c r="B5" i="25"/>
  <c r="C35" i="23"/>
  <c r="C31" i="23"/>
  <c r="D27" i="23"/>
  <c r="C37" i="23"/>
  <c r="C34" i="23"/>
  <c r="D44" i="23"/>
  <c r="D51" i="23"/>
  <c r="D28" i="23"/>
  <c r="D55" i="23"/>
  <c r="C22" i="23"/>
  <c r="D38" i="23"/>
  <c r="D45" i="23"/>
  <c r="D24" i="23"/>
  <c r="C27" i="23"/>
  <c r="D34" i="23"/>
  <c r="D58" i="23"/>
  <c r="D53" i="23"/>
  <c r="D57" i="23"/>
  <c r="D22" i="23"/>
  <c r="D33" i="23"/>
  <c r="D23" i="23"/>
  <c r="D31" i="23"/>
  <c r="C33" i="23"/>
  <c r="D42" i="23"/>
  <c r="D54" i="23"/>
  <c r="D52" i="23"/>
  <c r="C23" i="23"/>
  <c r="D50" i="23"/>
  <c r="D37" i="23"/>
  <c r="C24" i="23"/>
  <c r="C32" i="23"/>
  <c r="C30" i="23"/>
  <c r="C26" i="23"/>
  <c r="D43" i="23"/>
  <c r="D30" i="23"/>
  <c r="D32" i="23"/>
  <c r="C36" i="23"/>
  <c r="D35" i="23"/>
  <c r="D48" i="23"/>
  <c r="D56" i="23"/>
  <c r="C38" i="23"/>
  <c r="D36" i="23"/>
  <c r="C28" i="23"/>
  <c r="D47" i="23"/>
  <c r="C4" i="20"/>
  <c r="B4" i="20"/>
  <c r="G4" i="20"/>
  <c r="I4" i="20"/>
  <c r="C11" i="23" s="1"/>
  <c r="L4" i="20"/>
  <c r="J4" i="20"/>
  <c r="D11" i="23" s="1"/>
  <c r="K4" i="20"/>
  <c r="H4" i="20"/>
  <c r="A24" i="20"/>
  <c r="A43" i="20" s="1"/>
  <c r="P4" i="20"/>
  <c r="M4" i="20"/>
  <c r="N4" i="20"/>
  <c r="O4" i="20"/>
  <c r="Q4" i="20"/>
  <c r="R4" i="20"/>
  <c r="C2" i="19"/>
  <c r="C47" i="25" l="1"/>
  <c r="C4" i="25"/>
  <c r="E46" i="23"/>
  <c r="C29" i="23"/>
  <c r="D29" i="23"/>
  <c r="B32" i="25"/>
  <c r="D32" i="25" s="1"/>
  <c r="F32" i="25" s="1"/>
  <c r="C5" i="29"/>
  <c r="C49" i="23"/>
  <c r="C5" i="28"/>
  <c r="D49" i="23"/>
  <c r="E4" i="25"/>
  <c r="D4" i="25"/>
  <c r="O125" i="19"/>
  <c r="L121" i="19"/>
  <c r="I116" i="19"/>
  <c r="R125" i="19"/>
  <c r="H122" i="19"/>
  <c r="U117" i="19"/>
  <c r="J121" i="19"/>
  <c r="G113" i="19"/>
  <c r="K122" i="19"/>
  <c r="O116" i="19"/>
  <c r="V123" i="19"/>
  <c r="L119" i="19"/>
  <c r="P122" i="19"/>
  <c r="F118" i="19"/>
  <c r="O113" i="19"/>
  <c r="O120" i="19"/>
  <c r="S115" i="19"/>
  <c r="S120" i="19"/>
  <c r="D120" i="19"/>
  <c r="L120" i="19"/>
  <c r="E117" i="19"/>
  <c r="W115" i="19"/>
  <c r="H115" i="19"/>
  <c r="E122" i="19"/>
  <c r="Y116" i="19"/>
  <c r="M114" i="19"/>
  <c r="K115" i="19"/>
  <c r="X122" i="19"/>
  <c r="N118" i="19"/>
  <c r="T123" i="19"/>
  <c r="H117" i="19"/>
  <c r="O124" i="19"/>
  <c r="E121" i="19"/>
  <c r="F121" i="19"/>
  <c r="I123" i="19"/>
  <c r="V118" i="19"/>
  <c r="L114" i="19"/>
  <c r="Y120" i="19"/>
  <c r="L113" i="19"/>
  <c r="V120" i="19"/>
  <c r="Y114" i="19"/>
  <c r="T121" i="19"/>
  <c r="N115" i="19"/>
  <c r="V115" i="19"/>
  <c r="X115" i="19"/>
  <c r="U122" i="19"/>
  <c r="R117" i="19"/>
  <c r="N125" i="19"/>
  <c r="Q123" i="19"/>
  <c r="G119" i="19"/>
  <c r="T114" i="19"/>
  <c r="W113" i="19"/>
  <c r="M124" i="19"/>
  <c r="X117" i="19"/>
  <c r="H125" i="19"/>
  <c r="U121" i="19"/>
  <c r="V121" i="19"/>
  <c r="Y123" i="19"/>
  <c r="O119" i="19"/>
  <c r="E116" i="19"/>
  <c r="P120" i="19"/>
  <c r="R120" i="19"/>
  <c r="O121" i="19"/>
  <c r="Y121" i="19"/>
  <c r="K114" i="19"/>
  <c r="Q113" i="19"/>
  <c r="N123" i="19"/>
  <c r="K118" i="19"/>
  <c r="T113" i="19"/>
  <c r="J124" i="19"/>
  <c r="W119" i="19"/>
  <c r="M116" i="19"/>
  <c r="F125" i="19"/>
  <c r="Q118" i="19"/>
  <c r="S122" i="19"/>
  <c r="X125" i="19"/>
  <c r="N122" i="19"/>
  <c r="R124" i="19"/>
  <c r="H121" i="19"/>
  <c r="U116" i="19"/>
  <c r="J120" i="19"/>
  <c r="Q120" i="19"/>
  <c r="W118" i="19"/>
  <c r="E120" i="19"/>
  <c r="N119" i="19"/>
  <c r="Y113" i="19"/>
  <c r="N114" i="19"/>
  <c r="G124" i="19"/>
  <c r="T119" i="19"/>
  <c r="Q114" i="19"/>
  <c r="S125" i="19"/>
  <c r="P121" i="19"/>
  <c r="F117" i="19"/>
  <c r="V125" i="19"/>
  <c r="J119" i="19"/>
  <c r="Q115" i="19"/>
  <c r="G123" i="19"/>
  <c r="K125" i="19"/>
  <c r="X121" i="19"/>
  <c r="N117" i="19"/>
  <c r="G120" i="19"/>
  <c r="J123" i="19"/>
  <c r="I113" i="19"/>
  <c r="F123" i="19"/>
  <c r="M117" i="19"/>
  <c r="G116" i="19"/>
  <c r="W124" i="19"/>
  <c r="M121" i="19"/>
  <c r="J116" i="19"/>
  <c r="L115" i="19"/>
  <c r="I122" i="19"/>
  <c r="V117" i="19"/>
  <c r="O115" i="19"/>
  <c r="S121" i="19"/>
  <c r="G114" i="19"/>
  <c r="J113" i="19"/>
  <c r="W123" i="19"/>
  <c r="T115" i="19"/>
  <c r="Q122" i="19"/>
  <c r="G118" i="19"/>
  <c r="I114" i="19"/>
  <c r="T124" i="19"/>
  <c r="U120" i="19"/>
  <c r="V124" i="19"/>
  <c r="W116" i="19"/>
  <c r="G115" i="19"/>
  <c r="P125" i="19"/>
  <c r="F122" i="19"/>
  <c r="S117" i="19"/>
  <c r="F116" i="19"/>
  <c r="E113" i="19"/>
  <c r="Y122" i="19"/>
  <c r="O118" i="19"/>
  <c r="H113" i="19"/>
  <c r="L122" i="19"/>
  <c r="W114" i="19"/>
  <c r="P124" i="19"/>
  <c r="X118" i="19"/>
  <c r="M113" i="19"/>
  <c r="W120" i="19"/>
  <c r="M119" i="19"/>
  <c r="F120" i="19"/>
  <c r="P114" i="19"/>
  <c r="P117" i="19"/>
  <c r="I115" i="19"/>
  <c r="V122" i="19"/>
  <c r="L118" i="19"/>
  <c r="P113" i="19"/>
  <c r="R123" i="19"/>
  <c r="H119" i="19"/>
  <c r="E114" i="19"/>
  <c r="E123" i="19"/>
  <c r="P116" i="19"/>
  <c r="I125" i="19"/>
  <c r="S124" i="19"/>
  <c r="P119" i="19"/>
  <c r="R116" i="19"/>
  <c r="E115" i="19"/>
  <c r="V119" i="19"/>
  <c r="I118" i="19"/>
  <c r="Y115" i="19"/>
  <c r="O123" i="19"/>
  <c r="E119" i="19"/>
  <c r="U113" i="19"/>
  <c r="K124" i="19"/>
  <c r="X119" i="19"/>
  <c r="U114" i="19"/>
  <c r="X113" i="19"/>
  <c r="U123" i="19"/>
  <c r="I117" i="19"/>
  <c r="Y125" i="19"/>
  <c r="J114" i="19"/>
  <c r="L125" i="19"/>
  <c r="I121" i="19"/>
  <c r="H120" i="19"/>
  <c r="K120" i="19"/>
  <c r="K117" i="19"/>
  <c r="T120" i="19"/>
  <c r="T118" i="19"/>
  <c r="M125" i="19"/>
  <c r="S119" i="19"/>
  <c r="Y118" i="19"/>
  <c r="R113" i="19"/>
  <c r="H124" i="19"/>
  <c r="U119" i="19"/>
  <c r="T125" i="19"/>
  <c r="Q121" i="19"/>
  <c r="N116" i="19"/>
  <c r="N124" i="19"/>
  <c r="Y117" i="19"/>
  <c r="V116" i="19"/>
  <c r="R115" i="19"/>
  <c r="S116" i="19"/>
  <c r="M120" i="19"/>
  <c r="Q116" i="19"/>
  <c r="R121" i="19"/>
  <c r="R119" i="19"/>
  <c r="O114" i="19"/>
  <c r="X124" i="19"/>
  <c r="N121" i="19"/>
  <c r="R114" i="19"/>
  <c r="M115" i="19"/>
  <c r="J122" i="19"/>
  <c r="G117" i="19"/>
  <c r="G125" i="19"/>
  <c r="R118" i="19"/>
  <c r="K113" i="19"/>
  <c r="L117" i="19"/>
  <c r="O117" i="19"/>
  <c r="U115" i="19"/>
  <c r="R122" i="19"/>
  <c r="X120" i="19"/>
  <c r="H123" i="19"/>
  <c r="V114" i="19"/>
  <c r="K121" i="19"/>
  <c r="H116" i="19"/>
  <c r="Q125" i="19"/>
  <c r="G122" i="19"/>
  <c r="K116" i="19"/>
  <c r="H118" i="19"/>
  <c r="F113" i="19"/>
  <c r="S123" i="19"/>
  <c r="W117" i="19"/>
  <c r="W125" i="19"/>
  <c r="K119" i="19"/>
  <c r="H114" i="19"/>
  <c r="E118" i="19"/>
  <c r="N113" i="19"/>
  <c r="K123" i="19"/>
  <c r="O122" i="19"/>
  <c r="S118" i="19"/>
  <c r="W121" i="19"/>
  <c r="J125" i="19"/>
  <c r="T122" i="19"/>
  <c r="X116" i="19"/>
  <c r="E124" i="19"/>
  <c r="J115" i="19"/>
  <c r="W122" i="19"/>
  <c r="T117" i="19"/>
  <c r="L124" i="19"/>
  <c r="P118" i="19"/>
  <c r="L123" i="19"/>
  <c r="P115" i="19"/>
  <c r="D121" i="19"/>
  <c r="X114" i="19"/>
  <c r="U118" i="19"/>
  <c r="X123" i="19"/>
  <c r="Y124" i="19"/>
  <c r="M123" i="19"/>
  <c r="Q117" i="19"/>
  <c r="P123" i="19"/>
  <c r="M118" i="19"/>
  <c r="S114" i="19"/>
  <c r="V113" i="19"/>
  <c r="E125" i="19"/>
  <c r="I119" i="19"/>
  <c r="U124" i="19"/>
  <c r="F124" i="19"/>
  <c r="J118" i="19"/>
  <c r="S113" i="19"/>
  <c r="I124" i="19"/>
  <c r="F119" i="19"/>
  <c r="L116" i="19"/>
  <c r="U125" i="19"/>
  <c r="Y119" i="19"/>
  <c r="F114" i="19"/>
  <c r="M122" i="19"/>
  <c r="J117" i="19"/>
  <c r="G121" i="19"/>
  <c r="T116" i="19"/>
  <c r="Q119" i="19"/>
  <c r="F115" i="19"/>
  <c r="I120" i="19"/>
  <c r="N120" i="19"/>
  <c r="Q124" i="19"/>
  <c r="D113" i="19"/>
  <c r="D117" i="19"/>
  <c r="D114" i="19"/>
  <c r="D115" i="19"/>
  <c r="D123" i="19"/>
  <c r="D122" i="19"/>
  <c r="D118" i="19"/>
  <c r="D125" i="19"/>
  <c r="D124" i="19"/>
  <c r="D119" i="19"/>
  <c r="D116" i="19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D47" i="25" l="1"/>
  <c r="F47" i="25" s="1"/>
  <c r="H47" i="25"/>
  <c r="E49" i="23"/>
  <c r="AB121" i="19"/>
  <c r="AB116" i="19"/>
  <c r="AB125" i="19"/>
  <c r="AA119" i="19"/>
  <c r="AA121" i="19"/>
  <c r="AA116" i="19"/>
  <c r="AB122" i="19"/>
  <c r="AA120" i="19"/>
  <c r="AB114" i="19"/>
  <c r="AA115" i="19"/>
  <c r="AA114" i="19"/>
  <c r="AB119" i="19"/>
  <c r="AB113" i="19"/>
  <c r="AB124" i="19"/>
  <c r="AA123" i="19"/>
  <c r="AB117" i="19"/>
  <c r="AB115" i="19"/>
  <c r="AA125" i="19"/>
  <c r="AA122" i="19"/>
  <c r="AB120" i="19"/>
  <c r="AB123" i="19"/>
  <c r="AB118" i="19"/>
  <c r="AA118" i="19"/>
  <c r="AA124" i="19"/>
  <c r="AA117" i="19"/>
  <c r="AA113" i="19"/>
  <c r="E3" i="6"/>
  <c r="D3" i="6"/>
  <c r="B3" i="6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6" i="8"/>
  <c r="A155" i="8"/>
  <c r="A154" i="8"/>
  <c r="A153" i="8"/>
  <c r="A152" i="8"/>
  <c r="A151" i="8"/>
  <c r="A150" i="8"/>
  <c r="A149" i="8"/>
  <c r="A148" i="8"/>
  <c r="A147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6" i="8"/>
  <c r="A105" i="8"/>
  <c r="A104" i="8"/>
  <c r="A103" i="8"/>
  <c r="A102" i="8"/>
  <c r="A101" i="8"/>
  <c r="A10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2" i="8"/>
  <c r="A11" i="8"/>
  <c r="A10" i="8"/>
  <c r="A9" i="8"/>
  <c r="A8" i="8"/>
  <c r="A7" i="8"/>
  <c r="A6" i="8"/>
  <c r="A5" i="8"/>
  <c r="A4" i="8"/>
  <c r="A3" i="8"/>
  <c r="D39" i="6" l="1"/>
  <c r="G20" i="20"/>
  <c r="B20" i="20"/>
  <c r="B12" i="20"/>
  <c r="G12" i="20"/>
  <c r="G19" i="20"/>
  <c r="B19" i="20"/>
  <c r="B16" i="20"/>
  <c r="G9" i="20"/>
  <c r="B8" i="20"/>
  <c r="G8" i="20"/>
  <c r="G16" i="20"/>
  <c r="B9" i="20"/>
  <c r="G15" i="20"/>
  <c r="G11" i="20"/>
  <c r="B15" i="20"/>
  <c r="B7" i="20"/>
  <c r="G14" i="20"/>
  <c r="G6" i="20"/>
  <c r="B14" i="20"/>
  <c r="B17" i="20"/>
  <c r="B11" i="20"/>
  <c r="B13" i="20"/>
  <c r="B18" i="20"/>
  <c r="G17" i="20"/>
  <c r="G10" i="20"/>
  <c r="G7" i="20"/>
  <c r="B6" i="20"/>
  <c r="B10" i="20"/>
  <c r="G18" i="20"/>
  <c r="G13" i="20"/>
  <c r="C39" i="6"/>
  <c r="E39" i="6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15" i="7"/>
  <c r="A115" i="7" s="1"/>
  <c r="B114" i="7"/>
  <c r="A114" i="7" s="1"/>
  <c r="B113" i="7"/>
  <c r="A113" i="7" s="1"/>
  <c r="B112" i="7"/>
  <c r="A112" i="7" s="1"/>
  <c r="B111" i="7"/>
  <c r="A111" i="7" s="1"/>
  <c r="B110" i="7"/>
  <c r="A110" i="7" s="1"/>
  <c r="B109" i="7"/>
  <c r="A109" i="7" s="1"/>
  <c r="B108" i="7"/>
  <c r="A108" i="7" s="1"/>
  <c r="B107" i="7"/>
  <c r="A107" i="7" s="1"/>
  <c r="B106" i="7"/>
  <c r="A106" i="7" s="1"/>
  <c r="B105" i="7"/>
  <c r="A105" i="7" s="1"/>
  <c r="B104" i="7"/>
  <c r="A104" i="7" s="1"/>
  <c r="B103" i="7"/>
  <c r="A103" i="7" s="1"/>
  <c r="B102" i="7"/>
  <c r="A102" i="7" s="1"/>
  <c r="B101" i="7"/>
  <c r="A101" i="7" s="1"/>
  <c r="B100" i="7"/>
  <c r="A100" i="7" s="1"/>
  <c r="B99" i="7"/>
  <c r="A99" i="7" s="1"/>
  <c r="B98" i="7"/>
  <c r="A98" i="7" s="1"/>
  <c r="B97" i="7"/>
  <c r="A97" i="7" s="1"/>
  <c r="B96" i="7"/>
  <c r="A96" i="7" s="1"/>
  <c r="B95" i="7"/>
  <c r="A95" i="7" s="1"/>
  <c r="B94" i="7"/>
  <c r="A94" i="7" s="1"/>
  <c r="B93" i="7"/>
  <c r="A93" i="7" s="1"/>
  <c r="B92" i="7"/>
  <c r="A92" i="7" s="1"/>
  <c r="B91" i="7"/>
  <c r="A91" i="7" s="1"/>
  <c r="B85" i="7"/>
  <c r="A85" i="7" s="1"/>
  <c r="B84" i="7"/>
  <c r="A84" i="7" s="1"/>
  <c r="B83" i="7"/>
  <c r="A83" i="7" s="1"/>
  <c r="B82" i="7"/>
  <c r="A82" i="7" s="1"/>
  <c r="B81" i="7"/>
  <c r="A81" i="7" s="1"/>
  <c r="B80" i="7"/>
  <c r="A80" i="7" s="1"/>
  <c r="B79" i="7"/>
  <c r="A79" i="7" s="1"/>
  <c r="B78" i="7"/>
  <c r="A78" i="7" s="1"/>
  <c r="B77" i="7"/>
  <c r="A77" i="7" s="1"/>
  <c r="B76" i="7"/>
  <c r="A76" i="7" s="1"/>
  <c r="B75" i="7"/>
  <c r="A75" i="7" s="1"/>
  <c r="B74" i="7"/>
  <c r="A74" i="7" s="1"/>
  <c r="B73" i="7"/>
  <c r="A73" i="7" s="1"/>
  <c r="B72" i="7"/>
  <c r="A72" i="7" s="1"/>
  <c r="B71" i="7"/>
  <c r="A71" i="7" s="1"/>
  <c r="B70" i="7"/>
  <c r="A70" i="7" s="1"/>
  <c r="B69" i="7"/>
  <c r="A69" i="7" s="1"/>
  <c r="B68" i="7"/>
  <c r="A68" i="7" s="1"/>
  <c r="B67" i="7"/>
  <c r="A67" i="7" s="1"/>
  <c r="B66" i="7"/>
  <c r="A66" i="7" s="1"/>
  <c r="B65" i="7"/>
  <c r="A65" i="7" s="1"/>
  <c r="B64" i="7"/>
  <c r="A64" i="7" s="1"/>
  <c r="B63" i="7"/>
  <c r="A63" i="7" s="1"/>
  <c r="B62" i="7"/>
  <c r="A62" i="7" s="1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C48" i="23" l="1"/>
  <c r="E48" i="23" s="1"/>
  <c r="D9" i="20"/>
  <c r="B9" i="25" s="1"/>
  <c r="B33" i="25" s="1"/>
  <c r="D33" i="25" s="1"/>
  <c r="F33" i="25" s="1"/>
  <c r="E9" i="20"/>
  <c r="C47" i="23"/>
  <c r="E47" i="23" s="1"/>
  <c r="D8" i="20"/>
  <c r="B8" i="25" s="1"/>
  <c r="B35" i="25" s="1"/>
  <c r="D35" i="25" s="1"/>
  <c r="F35" i="25" s="1"/>
  <c r="E8" i="20"/>
  <c r="C6" i="29"/>
  <c r="C44" i="23"/>
  <c r="E44" i="23" s="1"/>
  <c r="D6" i="20"/>
  <c r="E6" i="20"/>
  <c r="C7" i="29"/>
  <c r="C52" i="23"/>
  <c r="E52" i="23" s="1"/>
  <c r="E18" i="20"/>
  <c r="D18" i="20"/>
  <c r="C56" i="23"/>
  <c r="E56" i="23" s="1"/>
  <c r="D16" i="20"/>
  <c r="B16" i="25" s="1"/>
  <c r="B42" i="25" s="1"/>
  <c r="D42" i="25" s="1"/>
  <c r="F42" i="25" s="1"/>
  <c r="E16" i="20"/>
  <c r="C53" i="23"/>
  <c r="E53" i="23" s="1"/>
  <c r="D13" i="20"/>
  <c r="B13" i="25" s="1"/>
  <c r="B39" i="25" s="1"/>
  <c r="D39" i="25" s="1"/>
  <c r="F39" i="25" s="1"/>
  <c r="E13" i="20"/>
  <c r="D19" i="20"/>
  <c r="B19" i="25" s="1"/>
  <c r="B36" i="25" s="1"/>
  <c r="D36" i="25" s="1"/>
  <c r="F36" i="25" s="1"/>
  <c r="E19" i="20"/>
  <c r="C50" i="23"/>
  <c r="E50" i="23" s="1"/>
  <c r="N20" i="20"/>
  <c r="Q20" i="20"/>
  <c r="C63" i="25" s="1"/>
  <c r="M20" i="20"/>
  <c r="R20" i="20"/>
  <c r="O20" i="20"/>
  <c r="P20" i="20"/>
  <c r="C51" i="23"/>
  <c r="E51" i="23" s="1"/>
  <c r="D11" i="20"/>
  <c r="E11" i="20"/>
  <c r="C58" i="23"/>
  <c r="E58" i="23" s="1"/>
  <c r="E17" i="20"/>
  <c r="D17" i="20"/>
  <c r="E14" i="20"/>
  <c r="C54" i="23"/>
  <c r="E54" i="23" s="1"/>
  <c r="D14" i="20"/>
  <c r="B14" i="25" s="1"/>
  <c r="B40" i="25" s="1"/>
  <c r="D40" i="25" s="1"/>
  <c r="F40" i="25" s="1"/>
  <c r="D12" i="20"/>
  <c r="B12" i="25" s="1"/>
  <c r="B28" i="25" s="1"/>
  <c r="D28" i="25" s="1"/>
  <c r="F28" i="25" s="1"/>
  <c r="E12" i="20"/>
  <c r="C43" i="23"/>
  <c r="E43" i="23" s="1"/>
  <c r="C45" i="23"/>
  <c r="E45" i="23" s="1"/>
  <c r="D10" i="20"/>
  <c r="E10" i="20"/>
  <c r="E20" i="20"/>
  <c r="B40" i="20"/>
  <c r="B59" i="20" s="1"/>
  <c r="D20" i="20"/>
  <c r="C55" i="23"/>
  <c r="E55" i="23" s="1"/>
  <c r="C57" i="23"/>
  <c r="E57" i="23" s="1"/>
  <c r="E15" i="20"/>
  <c r="D15" i="20"/>
  <c r="B15" i="25" s="1"/>
  <c r="B43" i="25" s="1"/>
  <c r="D43" i="25" s="1"/>
  <c r="F43" i="25" s="1"/>
  <c r="E7" i="20"/>
  <c r="C42" i="23"/>
  <c r="D7" i="20"/>
  <c r="B7" i="25" s="1"/>
  <c r="B29" i="25" s="1"/>
  <c r="D29" i="25" s="1"/>
  <c r="F29" i="25" s="1"/>
  <c r="J20" i="20"/>
  <c r="I20" i="20"/>
  <c r="J12" i="20"/>
  <c r="D15" i="23" s="1"/>
  <c r="I12" i="20"/>
  <c r="C15" i="23" s="1"/>
  <c r="J19" i="20"/>
  <c r="D12" i="23" s="1"/>
  <c r="I19" i="20"/>
  <c r="C12" i="23" s="1"/>
  <c r="J18" i="20"/>
  <c r="D13" i="23" s="1"/>
  <c r="I14" i="20"/>
  <c r="C7" i="23" s="1"/>
  <c r="J9" i="20"/>
  <c r="D14" i="23" s="1"/>
  <c r="I6" i="20"/>
  <c r="C4" i="23" s="1"/>
  <c r="J15" i="20"/>
  <c r="D17" i="23" s="1"/>
  <c r="I7" i="20"/>
  <c r="C3" i="23" s="1"/>
  <c r="I9" i="20"/>
  <c r="C14" i="23" s="1"/>
  <c r="J17" i="20"/>
  <c r="J8" i="20"/>
  <c r="D6" i="23" s="1"/>
  <c r="I17" i="20"/>
  <c r="I8" i="20"/>
  <c r="C6" i="23" s="1"/>
  <c r="J10" i="20"/>
  <c r="D9" i="23" s="1"/>
  <c r="I15" i="20"/>
  <c r="C17" i="23" s="1"/>
  <c r="J6" i="20"/>
  <c r="D4" i="23" s="1"/>
  <c r="I11" i="20"/>
  <c r="C10" i="23" s="1"/>
  <c r="I10" i="20"/>
  <c r="C9" i="23" s="1"/>
  <c r="I18" i="20"/>
  <c r="C13" i="23" s="1"/>
  <c r="J14" i="20"/>
  <c r="D7" i="23" s="1"/>
  <c r="J11" i="20"/>
  <c r="D10" i="23" s="1"/>
  <c r="J13" i="20"/>
  <c r="D8" i="23" s="1"/>
  <c r="I16" i="20"/>
  <c r="C16" i="23" s="1"/>
  <c r="J16" i="20"/>
  <c r="D16" i="23" s="1"/>
  <c r="I13" i="20"/>
  <c r="C8" i="23" s="1"/>
  <c r="J7" i="20"/>
  <c r="D3" i="23" s="1"/>
  <c r="N6" i="20"/>
  <c r="O6" i="20"/>
  <c r="M6" i="20"/>
  <c r="P6" i="20"/>
  <c r="Q6" i="20"/>
  <c r="C49" i="25" s="1"/>
  <c r="R6" i="20"/>
  <c r="B37" i="20"/>
  <c r="B56" i="20" s="1"/>
  <c r="B36" i="20"/>
  <c r="B55" i="20" s="1"/>
  <c r="B39" i="20"/>
  <c r="B58" i="20" s="1"/>
  <c r="R7" i="20"/>
  <c r="O7" i="20"/>
  <c r="N7" i="20"/>
  <c r="M7" i="20"/>
  <c r="P7" i="20"/>
  <c r="Q7" i="20"/>
  <c r="O12" i="20"/>
  <c r="M8" i="20"/>
  <c r="O15" i="20"/>
  <c r="M9" i="20"/>
  <c r="Q12" i="20"/>
  <c r="P12" i="20"/>
  <c r="N16" i="20"/>
  <c r="M14" i="20"/>
  <c r="P10" i="20"/>
  <c r="R19" i="20"/>
  <c r="Q14" i="20"/>
  <c r="M12" i="20"/>
  <c r="N8" i="20"/>
  <c r="O11" i="20"/>
  <c r="P13" i="20"/>
  <c r="Q19" i="20"/>
  <c r="N12" i="20"/>
  <c r="M18" i="20"/>
  <c r="R8" i="20"/>
  <c r="O17" i="20"/>
  <c r="Q18" i="20"/>
  <c r="C61" i="25" s="1"/>
  <c r="P19" i="20"/>
  <c r="O8" i="20"/>
  <c r="P11" i="20"/>
  <c r="N18" i="20"/>
  <c r="R17" i="20"/>
  <c r="R14" i="20"/>
  <c r="M19" i="20"/>
  <c r="M16" i="20"/>
  <c r="P15" i="20"/>
  <c r="R11" i="20"/>
  <c r="Q17" i="20"/>
  <c r="N19" i="20"/>
  <c r="R10" i="20"/>
  <c r="P14" i="20"/>
  <c r="P17" i="20"/>
  <c r="O19" i="20"/>
  <c r="M11" i="20"/>
  <c r="Q8" i="20"/>
  <c r="C51" i="25" s="1"/>
  <c r="O18" i="20"/>
  <c r="M17" i="20"/>
  <c r="O10" i="20"/>
  <c r="O9" i="20"/>
  <c r="Q13" i="20"/>
  <c r="C56" i="25" s="1"/>
  <c r="P18" i="20"/>
  <c r="N15" i="20"/>
  <c r="E15" i="25" s="1"/>
  <c r="N10" i="20"/>
  <c r="R13" i="20"/>
  <c r="R15" i="20"/>
  <c r="M13" i="20"/>
  <c r="N14" i="20"/>
  <c r="E14" i="25" s="1"/>
  <c r="P9" i="20"/>
  <c r="Q16" i="20"/>
  <c r="O16" i="20"/>
  <c r="N11" i="20"/>
  <c r="E11" i="25" s="1"/>
  <c r="N13" i="20"/>
  <c r="E13" i="25" s="1"/>
  <c r="Q15" i="20"/>
  <c r="C58" i="25" s="1"/>
  <c r="Q10" i="20"/>
  <c r="R9" i="20"/>
  <c r="N9" i="20"/>
  <c r="R18" i="20"/>
  <c r="P8" i="20"/>
  <c r="O14" i="20"/>
  <c r="M10" i="20"/>
  <c r="P16" i="20"/>
  <c r="Q9" i="20"/>
  <c r="C52" i="25" s="1"/>
  <c r="O13" i="20"/>
  <c r="R12" i="20"/>
  <c r="N17" i="20"/>
  <c r="M15" i="20"/>
  <c r="D15" i="25" s="1"/>
  <c r="Q11" i="20"/>
  <c r="R16" i="20"/>
  <c r="B30" i="20"/>
  <c r="B49" i="20" s="1"/>
  <c r="B31" i="20"/>
  <c r="B50" i="20" s="1"/>
  <c r="B32" i="20"/>
  <c r="B51" i="20" s="1"/>
  <c r="B34" i="20"/>
  <c r="B53" i="20" s="1"/>
  <c r="B33" i="20"/>
  <c r="B52" i="20" s="1"/>
  <c r="B29" i="20"/>
  <c r="B48" i="20" s="1"/>
  <c r="B38" i="20"/>
  <c r="B57" i="20" s="1"/>
  <c r="B28" i="20"/>
  <c r="B47" i="20" s="1"/>
  <c r="B35" i="20"/>
  <c r="B54" i="20" s="1"/>
  <c r="Y12" i="20"/>
  <c r="Y14" i="20"/>
  <c r="Y13" i="20"/>
  <c r="Y18" i="20"/>
  <c r="Y15" i="20"/>
  <c r="Y9" i="20"/>
  <c r="Y17" i="20"/>
  <c r="Y10" i="20"/>
  <c r="Y16" i="20"/>
  <c r="Y11" i="20"/>
  <c r="Y19" i="20"/>
  <c r="C10" i="25" l="1"/>
  <c r="C53" i="25"/>
  <c r="D56" i="25"/>
  <c r="F56" i="25" s="1"/>
  <c r="H56" i="25"/>
  <c r="C57" i="25"/>
  <c r="D51" i="25"/>
  <c r="F51" i="25" s="1"/>
  <c r="H51" i="25"/>
  <c r="H49" i="25"/>
  <c r="D49" i="25"/>
  <c r="F49" i="25" s="1"/>
  <c r="D63" i="25"/>
  <c r="F63" i="25" s="1"/>
  <c r="H63" i="25"/>
  <c r="H61" i="25"/>
  <c r="D61" i="25"/>
  <c r="F61" i="25" s="1"/>
  <c r="C55" i="25"/>
  <c r="C11" i="25"/>
  <c r="C54" i="25"/>
  <c r="D52" i="25"/>
  <c r="F52" i="25" s="1"/>
  <c r="H52" i="25"/>
  <c r="C59" i="25"/>
  <c r="C60" i="25"/>
  <c r="C62" i="25"/>
  <c r="C50" i="25"/>
  <c r="D58" i="25"/>
  <c r="F58" i="25" s="1"/>
  <c r="H58" i="25"/>
  <c r="D20" i="25"/>
  <c r="E9" i="25"/>
  <c r="D11" i="25"/>
  <c r="C20" i="25"/>
  <c r="D6" i="25"/>
  <c r="C18" i="23"/>
  <c r="E20" i="25"/>
  <c r="D17" i="25"/>
  <c r="D18" i="23"/>
  <c r="E17" i="25"/>
  <c r="B17" i="25"/>
  <c r="B44" i="25" s="1"/>
  <c r="D44" i="25" s="1"/>
  <c r="F44" i="25" s="1"/>
  <c r="C8" i="25"/>
  <c r="C6" i="25"/>
  <c r="B11" i="25"/>
  <c r="B37" i="25" s="1"/>
  <c r="D37" i="25" s="1"/>
  <c r="F37" i="25" s="1"/>
  <c r="B10" i="25"/>
  <c r="B30" i="25" s="1"/>
  <c r="D30" i="25" s="1"/>
  <c r="F30" i="25" s="1"/>
  <c r="D40" i="20"/>
  <c r="D59" i="20" s="1"/>
  <c r="B20" i="25"/>
  <c r="C7" i="27"/>
  <c r="B18" i="25"/>
  <c r="B38" i="25" s="1"/>
  <c r="D38" i="25" s="1"/>
  <c r="F38" i="25" s="1"/>
  <c r="C6" i="27"/>
  <c r="B6" i="25"/>
  <c r="B31" i="25" s="1"/>
  <c r="D31" i="25" s="1"/>
  <c r="F31" i="25" s="1"/>
  <c r="E40" i="20"/>
  <c r="E59" i="20" s="1"/>
  <c r="C19" i="23"/>
  <c r="F40" i="20"/>
  <c r="F59" i="20" s="1"/>
  <c r="D19" i="23"/>
  <c r="E6" i="25"/>
  <c r="E19" i="25"/>
  <c r="E12" i="25"/>
  <c r="C17" i="25"/>
  <c r="C19" i="25"/>
  <c r="C7" i="25"/>
  <c r="D10" i="25"/>
  <c r="E10" i="25"/>
  <c r="D7" i="25"/>
  <c r="D16" i="25"/>
  <c r="E8" i="25"/>
  <c r="E7" i="25"/>
  <c r="C13" i="25"/>
  <c r="D19" i="25"/>
  <c r="D12" i="25"/>
  <c r="C14" i="25"/>
  <c r="C15" i="25"/>
  <c r="E18" i="25"/>
  <c r="D14" i="25"/>
  <c r="E16" i="25"/>
  <c r="C18" i="25"/>
  <c r="C12" i="25"/>
  <c r="D9" i="25"/>
  <c r="C16" i="25"/>
  <c r="C9" i="25"/>
  <c r="D13" i="25"/>
  <c r="D18" i="25"/>
  <c r="D8" i="25"/>
  <c r="D33" i="20"/>
  <c r="D52" i="20" s="1"/>
  <c r="D35" i="20"/>
  <c r="D54" i="20" s="1"/>
  <c r="D32" i="20"/>
  <c r="D51" i="20" s="1"/>
  <c r="D28" i="20"/>
  <c r="D47" i="20" s="1"/>
  <c r="D31" i="20"/>
  <c r="D50" i="20" s="1"/>
  <c r="D38" i="20"/>
  <c r="D57" i="20" s="1"/>
  <c r="D30" i="20"/>
  <c r="D49" i="20" s="1"/>
  <c r="D39" i="20"/>
  <c r="D58" i="20" s="1"/>
  <c r="D29" i="20"/>
  <c r="D48" i="20" s="1"/>
  <c r="D36" i="20"/>
  <c r="D55" i="20" s="1"/>
  <c r="D34" i="20"/>
  <c r="D53" i="20" s="1"/>
  <c r="D37" i="20"/>
  <c r="D56" i="20" s="1"/>
  <c r="B120" i="6"/>
  <c r="B125" i="6" s="1"/>
  <c r="B98" i="6"/>
  <c r="C98" i="6"/>
  <c r="D98" i="6"/>
  <c r="E98" i="6"/>
  <c r="B99" i="6"/>
  <c r="B124" i="6" s="1"/>
  <c r="C99" i="6"/>
  <c r="C124" i="6" s="1"/>
  <c r="D99" i="6"/>
  <c r="D124" i="6" s="1"/>
  <c r="E99" i="6"/>
  <c r="E124" i="6" s="1"/>
  <c r="F124" i="6"/>
  <c r="B100" i="6"/>
  <c r="C100" i="6"/>
  <c r="D100" i="6"/>
  <c r="E100" i="6"/>
  <c r="B101" i="6"/>
  <c r="C101" i="6"/>
  <c r="D101" i="6"/>
  <c r="E101" i="6"/>
  <c r="B102" i="6"/>
  <c r="C102" i="6"/>
  <c r="D102" i="6"/>
  <c r="E102" i="6"/>
  <c r="B103" i="6"/>
  <c r="C103" i="6"/>
  <c r="D103" i="6"/>
  <c r="E103" i="6"/>
  <c r="B104" i="6"/>
  <c r="C104" i="6"/>
  <c r="D104" i="6"/>
  <c r="E104" i="6"/>
  <c r="B105" i="6"/>
  <c r="C105" i="6"/>
  <c r="D105" i="6"/>
  <c r="E105" i="6"/>
  <c r="B106" i="6"/>
  <c r="C106" i="6"/>
  <c r="D106" i="6"/>
  <c r="E106" i="6"/>
  <c r="B107" i="6"/>
  <c r="C107" i="6"/>
  <c r="D107" i="6"/>
  <c r="E107" i="6"/>
  <c r="B108" i="6"/>
  <c r="C108" i="6"/>
  <c r="D108" i="6"/>
  <c r="E108" i="6"/>
  <c r="B109" i="6"/>
  <c r="C109" i="6"/>
  <c r="D109" i="6"/>
  <c r="E109" i="6"/>
  <c r="B110" i="6"/>
  <c r="C110" i="6"/>
  <c r="D110" i="6"/>
  <c r="E110" i="6"/>
  <c r="B111" i="6"/>
  <c r="C111" i="6"/>
  <c r="D111" i="6"/>
  <c r="E111" i="6"/>
  <c r="B112" i="6"/>
  <c r="C112" i="6"/>
  <c r="D112" i="6"/>
  <c r="E112" i="6"/>
  <c r="B113" i="6"/>
  <c r="C113" i="6"/>
  <c r="D113" i="6"/>
  <c r="E113" i="6"/>
  <c r="B114" i="6"/>
  <c r="C114" i="6"/>
  <c r="D114" i="6"/>
  <c r="E114" i="6"/>
  <c r="B115" i="6"/>
  <c r="C115" i="6"/>
  <c r="D115" i="6"/>
  <c r="E115" i="6"/>
  <c r="B116" i="6"/>
  <c r="C116" i="6"/>
  <c r="D116" i="6"/>
  <c r="E116" i="6"/>
  <c r="B117" i="6"/>
  <c r="C117" i="6"/>
  <c r="D117" i="6"/>
  <c r="E117" i="6"/>
  <c r="B118" i="6"/>
  <c r="C118" i="6"/>
  <c r="D118" i="6"/>
  <c r="E118" i="6"/>
  <c r="B119" i="6"/>
  <c r="C119" i="6"/>
  <c r="D119" i="6"/>
  <c r="E119" i="6"/>
  <c r="C120" i="6"/>
  <c r="D120" i="6"/>
  <c r="E120" i="6"/>
  <c r="F125" i="6"/>
  <c r="D54" i="25" l="1"/>
  <c r="F54" i="25" s="1"/>
  <c r="H54" i="25"/>
  <c r="D55" i="25"/>
  <c r="F55" i="25" s="1"/>
  <c r="H55" i="25"/>
  <c r="D50" i="25"/>
  <c r="F50" i="25" s="1"/>
  <c r="H50" i="25"/>
  <c r="D62" i="25"/>
  <c r="F62" i="25" s="1"/>
  <c r="H62" i="25"/>
  <c r="H57" i="25"/>
  <c r="D57" i="25"/>
  <c r="F57" i="25" s="1"/>
  <c r="D60" i="25"/>
  <c r="F60" i="25" s="1"/>
  <c r="H60" i="25"/>
  <c r="D59" i="25"/>
  <c r="F59" i="25" s="1"/>
  <c r="H59" i="25"/>
  <c r="D53" i="25"/>
  <c r="F53" i="25" s="1"/>
  <c r="H53" i="25"/>
  <c r="B41" i="25"/>
  <c r="D41" i="25" s="1"/>
  <c r="F41" i="25" s="1"/>
  <c r="D125" i="6"/>
  <c r="S6" i="20"/>
  <c r="E125" i="6"/>
  <c r="S7" i="20"/>
  <c r="C125" i="6"/>
  <c r="S5" i="20"/>
  <c r="S4" i="20"/>
  <c r="Q114" i="7" l="1"/>
  <c r="Q115" i="7" s="1"/>
  <c r="P114" i="7"/>
  <c r="P115" i="7" s="1"/>
  <c r="O114" i="7"/>
  <c r="O115" i="7" s="1"/>
  <c r="N114" i="7"/>
  <c r="N115" i="7" s="1"/>
  <c r="M114" i="7"/>
  <c r="M115" i="7" s="1"/>
  <c r="L114" i="7"/>
  <c r="L115" i="7" s="1"/>
  <c r="Q85" i="7"/>
  <c r="P85" i="7"/>
  <c r="O85" i="7"/>
  <c r="N85" i="7"/>
  <c r="M85" i="7"/>
  <c r="L85" i="7"/>
  <c r="Q55" i="7"/>
  <c r="Q56" i="7" s="1"/>
  <c r="P55" i="7"/>
  <c r="P56" i="7" s="1"/>
  <c r="O55" i="7"/>
  <c r="O56" i="7" s="1"/>
  <c r="N55" i="7"/>
  <c r="N56" i="7" s="1"/>
  <c r="M55" i="7"/>
  <c r="M56" i="7" s="1"/>
  <c r="L55" i="7"/>
  <c r="L56" i="7" s="1"/>
  <c r="O27" i="7"/>
  <c r="O28" i="7" s="1"/>
  <c r="N27" i="7"/>
  <c r="N28" i="7" s="1"/>
  <c r="M27" i="7"/>
  <c r="M28" i="7" s="1"/>
  <c r="L27" i="7"/>
  <c r="L28" i="7" s="1"/>
  <c r="Q27" i="7"/>
  <c r="Q28" i="7" s="1"/>
  <c r="P27" i="7"/>
  <c r="P28" i="7" s="1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Q65" i="6" s="1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B59" i="6"/>
  <c r="C59" i="6"/>
  <c r="D59" i="6"/>
  <c r="E59" i="6"/>
  <c r="B60" i="6"/>
  <c r="C60" i="6"/>
  <c r="D60" i="6"/>
  <c r="E60" i="6"/>
  <c r="B61" i="6"/>
  <c r="C61" i="6"/>
  <c r="D61" i="6"/>
  <c r="E61" i="6"/>
  <c r="B62" i="6"/>
  <c r="C62" i="6"/>
  <c r="D62" i="6"/>
  <c r="E62" i="6"/>
  <c r="C63" i="6"/>
  <c r="D63" i="6"/>
  <c r="E63" i="6"/>
  <c r="T41" i="6"/>
  <c r="U41" i="6"/>
  <c r="V41" i="6"/>
  <c r="W41" i="6"/>
  <c r="T42" i="6"/>
  <c r="U42" i="6"/>
  <c r="V42" i="6"/>
  <c r="W42" i="6"/>
  <c r="T43" i="6"/>
  <c r="U43" i="6"/>
  <c r="V43" i="6"/>
  <c r="W43" i="6"/>
  <c r="T44" i="6"/>
  <c r="U44" i="6"/>
  <c r="V44" i="6"/>
  <c r="W44" i="6"/>
  <c r="T45" i="6"/>
  <c r="U45" i="6"/>
  <c r="V45" i="6"/>
  <c r="W45" i="6"/>
  <c r="T46" i="6"/>
  <c r="U46" i="6"/>
  <c r="V46" i="6"/>
  <c r="W46" i="6"/>
  <c r="T47" i="6"/>
  <c r="U47" i="6"/>
  <c r="V47" i="6"/>
  <c r="W47" i="6"/>
  <c r="T48" i="6"/>
  <c r="AI65" i="6" s="1"/>
  <c r="U48" i="6"/>
  <c r="V48" i="6"/>
  <c r="W48" i="6"/>
  <c r="T49" i="6"/>
  <c r="U49" i="6"/>
  <c r="V49" i="6"/>
  <c r="W49" i="6"/>
  <c r="T50" i="6"/>
  <c r="U50" i="6"/>
  <c r="V50" i="6"/>
  <c r="W50" i="6"/>
  <c r="T51" i="6"/>
  <c r="U51" i="6"/>
  <c r="V51" i="6"/>
  <c r="W51" i="6"/>
  <c r="T52" i="6"/>
  <c r="U52" i="6"/>
  <c r="V52" i="6"/>
  <c r="W52" i="6"/>
  <c r="T53" i="6"/>
  <c r="U53" i="6"/>
  <c r="V53" i="6"/>
  <c r="W53" i="6"/>
  <c r="T54" i="6"/>
  <c r="U54" i="6"/>
  <c r="V54" i="6"/>
  <c r="W54" i="6"/>
  <c r="T55" i="6"/>
  <c r="U55" i="6"/>
  <c r="V55" i="6"/>
  <c r="W55" i="6"/>
  <c r="T56" i="6"/>
  <c r="U56" i="6"/>
  <c r="V56" i="6"/>
  <c r="W56" i="6"/>
  <c r="T57" i="6"/>
  <c r="U57" i="6"/>
  <c r="V57" i="6"/>
  <c r="W57" i="6"/>
  <c r="T58" i="6"/>
  <c r="U58" i="6"/>
  <c r="V58" i="6"/>
  <c r="W58" i="6"/>
  <c r="T59" i="6"/>
  <c r="U59" i="6"/>
  <c r="V59" i="6"/>
  <c r="W59" i="6"/>
  <c r="T60" i="6"/>
  <c r="U60" i="6"/>
  <c r="V60" i="6"/>
  <c r="W60" i="6"/>
  <c r="T61" i="6"/>
  <c r="U61" i="6"/>
  <c r="V61" i="6"/>
  <c r="W61" i="6"/>
  <c r="T62" i="6"/>
  <c r="U62" i="6"/>
  <c r="V62" i="6"/>
  <c r="W62" i="6"/>
  <c r="T63" i="6"/>
  <c r="AI66" i="6" s="1"/>
  <c r="U63" i="6"/>
  <c r="V63" i="6"/>
  <c r="W63" i="6"/>
  <c r="B39" i="6"/>
  <c r="H27" i="20" l="1"/>
  <c r="H46" i="20" s="1"/>
  <c r="G27" i="20"/>
  <c r="G46" i="20" s="1"/>
  <c r="H26" i="20"/>
  <c r="H45" i="20" s="1"/>
  <c r="G26" i="20"/>
  <c r="G45" i="20" s="1"/>
  <c r="H25" i="20"/>
  <c r="H44" i="20" s="1"/>
  <c r="G25" i="20"/>
  <c r="G44" i="20" s="1"/>
  <c r="AH65" i="6"/>
  <c r="AG65" i="6"/>
  <c r="P65" i="6"/>
  <c r="O65" i="6"/>
  <c r="AH66" i="6"/>
  <c r="AG66" i="6"/>
  <c r="AF66" i="6"/>
  <c r="AE66" i="6"/>
  <c r="AD66" i="6"/>
  <c r="N65" i="6"/>
  <c r="M65" i="6"/>
  <c r="L65" i="6"/>
  <c r="AF65" i="6"/>
  <c r="AE65" i="6"/>
  <c r="AD65" i="6"/>
  <c r="AC66" i="6"/>
  <c r="AB66" i="6"/>
  <c r="AC65" i="6"/>
  <c r="AB65" i="6"/>
  <c r="K65" i="6"/>
  <c r="J65" i="6"/>
  <c r="Y65" i="6"/>
  <c r="AA65" i="6"/>
  <c r="Z65" i="6"/>
  <c r="Y66" i="6"/>
  <c r="AA66" i="6"/>
  <c r="Z66" i="6"/>
  <c r="G65" i="6"/>
  <c r="I65" i="6"/>
  <c r="H65" i="6"/>
  <c r="E65" i="6"/>
  <c r="V66" i="6"/>
  <c r="W66" i="6"/>
  <c r="U66" i="6"/>
  <c r="F65" i="6"/>
  <c r="D65" i="6"/>
  <c r="C65" i="6"/>
  <c r="X65" i="6"/>
  <c r="F66" i="6"/>
  <c r="W65" i="6"/>
  <c r="E66" i="6"/>
  <c r="V65" i="6"/>
  <c r="D66" i="6"/>
  <c r="U65" i="6"/>
  <c r="C66" i="6"/>
  <c r="X66" i="6"/>
  <c r="F27" i="20" l="1"/>
  <c r="F46" i="20" s="1"/>
  <c r="E27" i="20"/>
  <c r="E46" i="20" s="1"/>
  <c r="E24" i="20"/>
  <c r="E43" i="20" s="1"/>
  <c r="F36" i="20"/>
  <c r="F55" i="20" s="1"/>
  <c r="F34" i="20"/>
  <c r="F53" i="20" s="1"/>
  <c r="E26" i="20"/>
  <c r="E45" i="20" s="1"/>
  <c r="E25" i="20"/>
  <c r="E44" i="20" s="1"/>
  <c r="E33" i="20"/>
  <c r="E52" i="20" s="1"/>
  <c r="F28" i="20"/>
  <c r="F47" i="20" s="1"/>
  <c r="F38" i="20"/>
  <c r="F57" i="20" s="1"/>
  <c r="F35" i="20"/>
  <c r="F54" i="20" s="1"/>
  <c r="F24" i="20"/>
  <c r="F43" i="20" s="1"/>
  <c r="E34" i="20"/>
  <c r="E53" i="20" s="1"/>
  <c r="F25" i="20"/>
  <c r="F44" i="20" s="1"/>
  <c r="E38" i="20"/>
  <c r="E57" i="20" s="1"/>
  <c r="F37" i="20"/>
  <c r="F56" i="20" s="1"/>
  <c r="E28" i="20"/>
  <c r="E47" i="20" s="1"/>
  <c r="F29" i="20"/>
  <c r="F48" i="20" s="1"/>
  <c r="E30" i="20"/>
  <c r="E49" i="20" s="1"/>
  <c r="E39" i="20"/>
  <c r="E58" i="20" s="1"/>
  <c r="E35" i="20"/>
  <c r="E54" i="20" s="1"/>
  <c r="H24" i="20"/>
  <c r="H43" i="20" s="1"/>
  <c r="E29" i="20"/>
  <c r="E48" i="20" s="1"/>
  <c r="F30" i="20"/>
  <c r="F49" i="20" s="1"/>
  <c r="F26" i="20"/>
  <c r="F45" i="20" s="1"/>
  <c r="E31" i="20"/>
  <c r="E50" i="20" s="1"/>
  <c r="F39" i="20"/>
  <c r="F58" i="20" s="1"/>
  <c r="E36" i="20"/>
  <c r="E55" i="20" s="1"/>
  <c r="F33" i="20"/>
  <c r="F52" i="20" s="1"/>
  <c r="F31" i="20"/>
  <c r="F50" i="20" s="1"/>
  <c r="E37" i="20"/>
  <c r="E56" i="20" s="1"/>
  <c r="G24" i="20"/>
  <c r="G43" i="20" s="1"/>
  <c r="F32" i="20"/>
  <c r="F51" i="20" s="1"/>
  <c r="E32" i="20"/>
  <c r="E51" i="20" s="1"/>
  <c r="V19" i="20"/>
  <c r="W7" i="20"/>
  <c r="W19" i="20"/>
  <c r="V16" i="20"/>
  <c r="V14" i="20"/>
  <c r="V17" i="20"/>
  <c r="V13" i="20"/>
  <c r="V15" i="20"/>
  <c r="V18" i="20"/>
  <c r="V12" i="20"/>
  <c r="V11" i="20"/>
  <c r="V10" i="20"/>
  <c r="V9" i="20"/>
  <c r="V8" i="20"/>
  <c r="W14" i="20"/>
  <c r="W13" i="20"/>
  <c r="W16" i="20"/>
  <c r="W18" i="20"/>
  <c r="W15" i="20"/>
  <c r="W17" i="20"/>
  <c r="W12" i="20"/>
  <c r="W11" i="20"/>
  <c r="W10" i="20"/>
  <c r="W9" i="20"/>
  <c r="W8" i="20"/>
  <c r="V5" i="20"/>
  <c r="V6" i="20"/>
  <c r="V7" i="20"/>
  <c r="W5" i="20"/>
  <c r="W6" i="20"/>
  <c r="G62" i="20" l="1"/>
  <c r="G61" i="20"/>
  <c r="F62" i="20"/>
  <c r="F61" i="20"/>
  <c r="E62" i="20"/>
  <c r="E61" i="20"/>
  <c r="H62" i="20"/>
  <c r="H61" i="20"/>
  <c r="Y8" i="20"/>
  <c r="AG7" i="9"/>
  <c r="AG6" i="9"/>
  <c r="AG5" i="9"/>
  <c r="AB44" i="8" l="1"/>
  <c r="AB43" i="8"/>
  <c r="AB42" i="8"/>
  <c r="AB49" i="8"/>
  <c r="AB48" i="8"/>
  <c r="AB47" i="8"/>
  <c r="AB39" i="8"/>
  <c r="D27" i="22" s="1"/>
  <c r="AB37" i="8"/>
  <c r="AB36" i="8"/>
  <c r="AB35" i="8"/>
  <c r="AB34" i="8"/>
  <c r="AB33" i="8"/>
  <c r="AB32" i="8"/>
  <c r="AB31" i="8"/>
  <c r="D19" i="22" s="1"/>
  <c r="AB30" i="8"/>
  <c r="D18" i="22" s="1"/>
  <c r="AB29" i="8"/>
  <c r="D17" i="22" s="1"/>
  <c r="AB26" i="8"/>
  <c r="D14" i="22" s="1"/>
  <c r="AB24" i="8"/>
  <c r="AB23" i="8"/>
  <c r="AB22" i="8"/>
  <c r="AB21" i="8"/>
  <c r="AB20" i="8"/>
  <c r="AB19" i="8"/>
  <c r="AB18" i="8"/>
  <c r="D6" i="22" s="1"/>
  <c r="AB17" i="8"/>
  <c r="D5" i="22" s="1"/>
  <c r="AB16" i="8"/>
  <c r="D4" i="22" s="1"/>
  <c r="AB11" i="8"/>
  <c r="AB10" i="8"/>
  <c r="AB9" i="8"/>
  <c r="AB8" i="8"/>
  <c r="AB7" i="8"/>
  <c r="AB6" i="8"/>
  <c r="AB5" i="8"/>
  <c r="AB4" i="8"/>
  <c r="AL18" i="22" l="1"/>
  <c r="H38" i="22"/>
  <c r="J38" i="22" s="1"/>
  <c r="AM18" i="22"/>
  <c r="AL5" i="22"/>
  <c r="D38" i="22"/>
  <c r="F38" i="22" s="1"/>
  <c r="AM5" i="22"/>
  <c r="AL27" i="22"/>
  <c r="H47" i="22"/>
  <c r="J47" i="22" s="1"/>
  <c r="AM27" i="22"/>
  <c r="AL17" i="22"/>
  <c r="H37" i="22"/>
  <c r="J37" i="22" s="1"/>
  <c r="AM17" i="22"/>
  <c r="AL19" i="22"/>
  <c r="H39" i="22"/>
  <c r="J39" i="22" s="1"/>
  <c r="AM19" i="22"/>
  <c r="AL4" i="22"/>
  <c r="AM4" i="22"/>
  <c r="D37" i="22"/>
  <c r="F37" i="22" s="1"/>
  <c r="AL6" i="22"/>
  <c r="AM6" i="22"/>
  <c r="D39" i="22"/>
  <c r="F39" i="22" s="1"/>
  <c r="AL14" i="22"/>
  <c r="AM14" i="22"/>
  <c r="D47" i="22"/>
  <c r="F47" i="22" s="1"/>
  <c r="Y18" i="22"/>
  <c r="AC18" i="22"/>
  <c r="AE18" i="22"/>
  <c r="Z18" i="22"/>
  <c r="AG18" i="22"/>
  <c r="W18" i="22"/>
  <c r="X18" i="22"/>
  <c r="AA18" i="22"/>
  <c r="AD18" i="22"/>
  <c r="AH18" i="22"/>
  <c r="AB18" i="22"/>
  <c r="AF18" i="22"/>
  <c r="AI18" i="22"/>
  <c r="AK18" i="22"/>
  <c r="AJ18" i="22"/>
  <c r="AB5" i="22"/>
  <c r="AA5" i="22"/>
  <c r="AG5" i="22"/>
  <c r="AI5" i="22"/>
  <c r="AC5" i="22"/>
  <c r="AK5" i="22"/>
  <c r="AJ5" i="22"/>
  <c r="AH5" i="22"/>
  <c r="Z5" i="22"/>
  <c r="AF5" i="22"/>
  <c r="AE5" i="22"/>
  <c r="X5" i="22"/>
  <c r="AD5" i="22"/>
  <c r="W5" i="22"/>
  <c r="Y5" i="22"/>
  <c r="AF17" i="22"/>
  <c r="Y17" i="22"/>
  <c r="AB17" i="22"/>
  <c r="W17" i="22"/>
  <c r="AA17" i="22"/>
  <c r="AC17" i="22"/>
  <c r="AK17" i="22"/>
  <c r="AG17" i="22"/>
  <c r="AH17" i="22"/>
  <c r="AD17" i="22"/>
  <c r="AI17" i="22"/>
  <c r="Z17" i="22"/>
  <c r="X17" i="22"/>
  <c r="AE17" i="22"/>
  <c r="AJ17" i="22"/>
  <c r="AG27" i="22"/>
  <c r="AE27" i="22"/>
  <c r="AD27" i="22"/>
  <c r="Z27" i="22"/>
  <c r="AC27" i="22"/>
  <c r="W27" i="22"/>
  <c r="Y27" i="22"/>
  <c r="AF27" i="22"/>
  <c r="AH27" i="22"/>
  <c r="AJ27" i="22"/>
  <c r="AI27" i="22"/>
  <c r="AK27" i="22"/>
  <c r="X27" i="22"/>
  <c r="AB27" i="22"/>
  <c r="AA27" i="22"/>
  <c r="AC19" i="22"/>
  <c r="Y19" i="22"/>
  <c r="AD19" i="22"/>
  <c r="W19" i="22"/>
  <c r="Z19" i="22"/>
  <c r="AE19" i="22"/>
  <c r="AG19" i="22"/>
  <c r="AI19" i="22"/>
  <c r="X19" i="22"/>
  <c r="AH19" i="22"/>
  <c r="AF19" i="22"/>
  <c r="AA19" i="22"/>
  <c r="AB19" i="22"/>
  <c r="AK19" i="22"/>
  <c r="AJ19" i="22"/>
  <c r="AC4" i="22"/>
  <c r="AJ4" i="22"/>
  <c r="AA4" i="22"/>
  <c r="AG4" i="22"/>
  <c r="AK4" i="22"/>
  <c r="AD4" i="22"/>
  <c r="AH4" i="22"/>
  <c r="AB4" i="22"/>
  <c r="AI4" i="22"/>
  <c r="W4" i="22"/>
  <c r="Z4" i="22"/>
  <c r="Y4" i="22"/>
  <c r="X4" i="22"/>
  <c r="AE4" i="22"/>
  <c r="AF4" i="22"/>
  <c r="AG6" i="22"/>
  <c r="AK6" i="22"/>
  <c r="AA6" i="22"/>
  <c r="AH6" i="22"/>
  <c r="AI6" i="22"/>
  <c r="AD6" i="22"/>
  <c r="AJ6" i="22"/>
  <c r="AC6" i="22"/>
  <c r="W6" i="22"/>
  <c r="X6" i="22"/>
  <c r="Y6" i="22"/>
  <c r="AE6" i="22"/>
  <c r="Z6" i="22"/>
  <c r="AF6" i="22"/>
  <c r="AB6" i="22"/>
  <c r="AJ14" i="22"/>
  <c r="AK14" i="22"/>
  <c r="AC14" i="22"/>
  <c r="AH14" i="22"/>
  <c r="AB14" i="22"/>
  <c r="AF14" i="22"/>
  <c r="AD14" i="22"/>
  <c r="AA14" i="22"/>
  <c r="AI14" i="22"/>
  <c r="AG14" i="22"/>
  <c r="AE14" i="22"/>
  <c r="X14" i="22"/>
  <c r="W14" i="22"/>
  <c r="Y14" i="22"/>
  <c r="Z14" i="22"/>
  <c r="D21" i="22"/>
  <c r="D7" i="22"/>
  <c r="D23" i="22"/>
  <c r="D10" i="22"/>
  <c r="D25" i="22"/>
  <c r="D11" i="22"/>
  <c r="D20" i="22"/>
  <c r="D9" i="22"/>
  <c r="D12" i="22"/>
  <c r="D22" i="22"/>
  <c r="D24" i="22"/>
  <c r="D8" i="22"/>
  <c r="C24" i="11"/>
  <c r="AL22" i="22" l="1"/>
  <c r="H42" i="22"/>
  <c r="J42" i="22" s="1"/>
  <c r="AM22" i="22"/>
  <c r="D41" i="22"/>
  <c r="F41" i="22" s="1"/>
  <c r="AM8" i="22"/>
  <c r="D42" i="22"/>
  <c r="F42" i="22" s="1"/>
  <c r="AM9" i="22"/>
  <c r="AL25" i="22"/>
  <c r="H45" i="22"/>
  <c r="J45" i="22" s="1"/>
  <c r="AM25" i="22"/>
  <c r="AL24" i="22"/>
  <c r="H44" i="22"/>
  <c r="J44" i="22" s="1"/>
  <c r="AM24" i="22"/>
  <c r="AL10" i="22"/>
  <c r="D43" i="22"/>
  <c r="F43" i="22" s="1"/>
  <c r="AM10" i="22"/>
  <c r="AL20" i="22"/>
  <c r="H40" i="22"/>
  <c r="J40" i="22" s="1"/>
  <c r="AM20" i="22"/>
  <c r="AL11" i="22"/>
  <c r="D44" i="22"/>
  <c r="F44" i="22" s="1"/>
  <c r="AM11" i="22"/>
  <c r="AL7" i="22"/>
  <c r="D40" i="22"/>
  <c r="F40" i="22" s="1"/>
  <c r="AM7" i="22"/>
  <c r="AL12" i="22"/>
  <c r="D45" i="22"/>
  <c r="F45" i="22" s="1"/>
  <c r="AM12" i="22"/>
  <c r="AL23" i="22"/>
  <c r="H43" i="22"/>
  <c r="J43" i="22" s="1"/>
  <c r="AM23" i="22"/>
  <c r="AL21" i="22"/>
  <c r="H41" i="22"/>
  <c r="J41" i="22" s="1"/>
  <c r="AM21" i="22"/>
  <c r="AL9" i="22"/>
  <c r="W9" i="22"/>
  <c r="Z9" i="22"/>
  <c r="AL8" i="22"/>
  <c r="W8" i="22"/>
  <c r="AI10" i="22"/>
  <c r="AK10" i="22"/>
  <c r="AG10" i="22"/>
  <c r="AB10" i="22"/>
  <c r="AJ10" i="22"/>
  <c r="AH10" i="22"/>
  <c r="AF10" i="22"/>
  <c r="AC10" i="22"/>
  <c r="W10" i="22"/>
  <c r="Y10" i="22"/>
  <c r="AD10" i="22"/>
  <c r="AA10" i="22"/>
  <c r="AE10" i="22"/>
  <c r="Z10" i="22"/>
  <c r="X10" i="22"/>
  <c r="AG21" i="22"/>
  <c r="AJ21" i="22"/>
  <c r="W21" i="22"/>
  <c r="AA21" i="22"/>
  <c r="AD21" i="22"/>
  <c r="AI21" i="22"/>
  <c r="Y21" i="22"/>
  <c r="AB21" i="22"/>
  <c r="AE21" i="22"/>
  <c r="AC21" i="22"/>
  <c r="AF21" i="22"/>
  <c r="AH21" i="22"/>
  <c r="AK21" i="22"/>
  <c r="Z21" i="22"/>
  <c r="X21" i="22"/>
  <c r="AH7" i="22"/>
  <c r="AD7" i="22"/>
  <c r="AI7" i="22"/>
  <c r="AB7" i="22"/>
  <c r="AC7" i="22"/>
  <c r="AJ7" i="22"/>
  <c r="AA7" i="22"/>
  <c r="AK7" i="22"/>
  <c r="AG7" i="22"/>
  <c r="AE7" i="22"/>
  <c r="Y7" i="22"/>
  <c r="X7" i="22"/>
  <c r="AF7" i="22"/>
  <c r="Z7" i="22"/>
  <c r="W7" i="22"/>
  <c r="AF25" i="22"/>
  <c r="X25" i="22"/>
  <c r="AD25" i="22"/>
  <c r="Z25" i="22"/>
  <c r="AJ25" i="22"/>
  <c r="AE25" i="22"/>
  <c r="AG25" i="22"/>
  <c r="AI25" i="22"/>
  <c r="AB25" i="22"/>
  <c r="W25" i="22"/>
  <c r="AA25" i="22"/>
  <c r="AC25" i="22"/>
  <c r="Y25" i="22"/>
  <c r="AH25" i="22"/>
  <c r="AK25" i="22"/>
  <c r="D29" i="22"/>
  <c r="X20" i="22"/>
  <c r="AD20" i="22"/>
  <c r="AB20" i="22"/>
  <c r="Y20" i="22"/>
  <c r="AF20" i="22"/>
  <c r="Z20" i="22"/>
  <c r="AI20" i="22"/>
  <c r="AK20" i="22"/>
  <c r="W20" i="22"/>
  <c r="AA20" i="22"/>
  <c r="AJ20" i="22"/>
  <c r="AC20" i="22"/>
  <c r="AG20" i="22"/>
  <c r="AH20" i="22"/>
  <c r="AE20" i="22"/>
  <c r="AJ11" i="22"/>
  <c r="AH11" i="22"/>
  <c r="AF11" i="22"/>
  <c r="AB11" i="22"/>
  <c r="AA11" i="22"/>
  <c r="AK11" i="22"/>
  <c r="AC11" i="22"/>
  <c r="AI11" i="22"/>
  <c r="AG11" i="22"/>
  <c r="AD11" i="22"/>
  <c r="Z11" i="22"/>
  <c r="Y11" i="22"/>
  <c r="W11" i="22"/>
  <c r="AE11" i="22"/>
  <c r="X11" i="22"/>
  <c r="AJ8" i="22"/>
  <c r="AK8" i="22"/>
  <c r="AB8" i="22"/>
  <c r="AD8" i="22"/>
  <c r="AH8" i="22"/>
  <c r="AI8" i="22"/>
  <c r="AG8" i="22"/>
  <c r="AE8" i="22"/>
  <c r="AC8" i="22"/>
  <c r="Y8" i="22"/>
  <c r="X8" i="22"/>
  <c r="Z8" i="22"/>
  <c r="AA8" i="22"/>
  <c r="AF8" i="22"/>
  <c r="AH12" i="22"/>
  <c r="AC12" i="22"/>
  <c r="AG12" i="22"/>
  <c r="AA12" i="22"/>
  <c r="AD12" i="22"/>
  <c r="AE12" i="22"/>
  <c r="AJ12" i="22"/>
  <c r="AK12" i="22"/>
  <c r="AB12" i="22"/>
  <c r="AI12" i="22"/>
  <c r="AF12" i="22"/>
  <c r="Y12" i="22"/>
  <c r="W12" i="22"/>
  <c r="X12" i="22"/>
  <c r="Z12" i="22"/>
  <c r="AB23" i="22"/>
  <c r="X23" i="22"/>
  <c r="AA23" i="22"/>
  <c r="AK23" i="22"/>
  <c r="AI23" i="22"/>
  <c r="AE23" i="22"/>
  <c r="AC23" i="22"/>
  <c r="AH23" i="22"/>
  <c r="W23" i="22"/>
  <c r="AF23" i="22"/>
  <c r="AG23" i="22"/>
  <c r="AD23" i="22"/>
  <c r="Y23" i="22"/>
  <c r="Z23" i="22"/>
  <c r="AJ23" i="22"/>
  <c r="Z24" i="22"/>
  <c r="AB24" i="22"/>
  <c r="X24" i="22"/>
  <c r="AC24" i="22"/>
  <c r="AH24" i="22"/>
  <c r="Y24" i="22"/>
  <c r="AD24" i="22"/>
  <c r="AE24" i="22"/>
  <c r="AA24" i="22"/>
  <c r="AJ24" i="22"/>
  <c r="AI24" i="22"/>
  <c r="AG24" i="22"/>
  <c r="W24" i="22"/>
  <c r="AF24" i="22"/>
  <c r="AK24" i="22"/>
  <c r="AA22" i="22"/>
  <c r="AG22" i="22"/>
  <c r="AB22" i="22"/>
  <c r="W22" i="22"/>
  <c r="Y22" i="22"/>
  <c r="AK22" i="22"/>
  <c r="AJ22" i="22"/>
  <c r="AE22" i="22"/>
  <c r="Z22" i="22"/>
  <c r="AD22" i="22"/>
  <c r="AI22" i="22"/>
  <c r="AF22" i="22"/>
  <c r="AC22" i="22"/>
  <c r="AH22" i="22"/>
  <c r="X22" i="22"/>
  <c r="AI9" i="22"/>
  <c r="AH9" i="22"/>
  <c r="AK9" i="22"/>
  <c r="AD9" i="22"/>
  <c r="AJ9" i="22"/>
  <c r="AA9" i="22"/>
  <c r="AG9" i="22"/>
  <c r="AB9" i="22"/>
  <c r="AE9" i="22"/>
  <c r="X9" i="22"/>
  <c r="AC9" i="22"/>
  <c r="Y9" i="22"/>
  <c r="AF9" i="22"/>
  <c r="E24" i="11"/>
  <c r="D24" i="11"/>
  <c r="T6" i="6" l="1"/>
  <c r="U6" i="6"/>
  <c r="V6" i="6"/>
  <c r="W6" i="6"/>
  <c r="B6" i="6"/>
  <c r="C6" i="6"/>
  <c r="D6" i="6"/>
  <c r="E6" i="6"/>
  <c r="B7" i="6"/>
  <c r="C7" i="6"/>
  <c r="D7" i="6"/>
  <c r="E7" i="6"/>
  <c r="B8" i="6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Q33" i="6" s="1"/>
  <c r="Q35" i="6" s="1"/>
  <c r="C28" i="6"/>
  <c r="D28" i="6"/>
  <c r="E28" i="6"/>
  <c r="I55" i="7"/>
  <c r="I56" i="7" s="1"/>
  <c r="H55" i="7"/>
  <c r="H56" i="7" s="1"/>
  <c r="G55" i="7"/>
  <c r="G56" i="7" s="1"/>
  <c r="F55" i="7"/>
  <c r="E55" i="7"/>
  <c r="E56" i="7" s="1"/>
  <c r="D55" i="7"/>
  <c r="D56" i="7" s="1"/>
  <c r="E36" i="6" l="1"/>
  <c r="E29" i="6"/>
  <c r="E30" i="6" s="1"/>
  <c r="D36" i="6"/>
  <c r="D29" i="6"/>
  <c r="D30" i="6" s="1"/>
  <c r="C32" i="6"/>
  <c r="C34" i="6" s="1"/>
  <c r="C36" i="6"/>
  <c r="C29" i="6"/>
  <c r="B36" i="6"/>
  <c r="Q32" i="6"/>
  <c r="Q34" i="6" s="1"/>
  <c r="B30" i="6"/>
  <c r="Q31" i="6" s="1"/>
  <c r="P33" i="6"/>
  <c r="P35" i="6" s="1"/>
  <c r="O33" i="6"/>
  <c r="O35" i="6" s="1"/>
  <c r="P32" i="6"/>
  <c r="P34" i="6" s="1"/>
  <c r="O32" i="6"/>
  <c r="O34" i="6" s="1"/>
  <c r="N33" i="6"/>
  <c r="N35" i="6" s="1"/>
  <c r="M33" i="6"/>
  <c r="M35" i="6" s="1"/>
  <c r="L33" i="6"/>
  <c r="L35" i="6" s="1"/>
  <c r="N32" i="6"/>
  <c r="N34" i="6" s="1"/>
  <c r="M32" i="6"/>
  <c r="M34" i="6" s="1"/>
  <c r="L32" i="6"/>
  <c r="L34" i="6" s="1"/>
  <c r="K33" i="6"/>
  <c r="K35" i="6" s="1"/>
  <c r="J33" i="6"/>
  <c r="J35" i="6" s="1"/>
  <c r="K32" i="6"/>
  <c r="K34" i="6" s="1"/>
  <c r="J32" i="6"/>
  <c r="J34" i="6" s="1"/>
  <c r="G33" i="6"/>
  <c r="G35" i="6" s="1"/>
  <c r="I33" i="6"/>
  <c r="I35" i="6" s="1"/>
  <c r="H33" i="6"/>
  <c r="H35" i="6" s="1"/>
  <c r="G32" i="6"/>
  <c r="G34" i="6" s="1"/>
  <c r="I32" i="6"/>
  <c r="I34" i="6" s="1"/>
  <c r="H32" i="6"/>
  <c r="H34" i="6" s="1"/>
  <c r="F56" i="7"/>
  <c r="B4" i="16"/>
  <c r="E32" i="6"/>
  <c r="E34" i="6" s="1"/>
  <c r="D32" i="6"/>
  <c r="U32" i="6"/>
  <c r="U34" i="6" s="1"/>
  <c r="F32" i="6"/>
  <c r="E33" i="6"/>
  <c r="D33" i="6"/>
  <c r="F33" i="6"/>
  <c r="C33" i="6"/>
  <c r="U33" i="6"/>
  <c r="AH31" i="6" l="1"/>
  <c r="AG31" i="6"/>
  <c r="AF31" i="6"/>
  <c r="AE31" i="6"/>
  <c r="AC31" i="6"/>
  <c r="AD31" i="6"/>
  <c r="AB31" i="6"/>
  <c r="AA31" i="6"/>
  <c r="Z31" i="6"/>
  <c r="Y31" i="6"/>
  <c r="X31" i="6"/>
  <c r="P31" i="6"/>
  <c r="O31" i="6"/>
  <c r="N31" i="6"/>
  <c r="M31" i="6"/>
  <c r="L31" i="6"/>
  <c r="K31" i="6"/>
  <c r="J31" i="6"/>
  <c r="W31" i="6"/>
  <c r="E31" i="6"/>
  <c r="V31" i="6"/>
  <c r="D31" i="6"/>
  <c r="U31" i="6"/>
  <c r="G31" i="6"/>
  <c r="I31" i="6"/>
  <c r="H31" i="6"/>
  <c r="D34" i="6"/>
  <c r="F34" i="6"/>
  <c r="E35" i="6"/>
  <c r="D35" i="6"/>
  <c r="F35" i="6"/>
  <c r="U35" i="6"/>
  <c r="C35" i="6"/>
  <c r="F31" i="6"/>
  <c r="B27" i="20" l="1"/>
  <c r="B46" i="20" s="1"/>
  <c r="E42" i="23"/>
  <c r="C25" i="20"/>
  <c r="C44" i="20" s="1"/>
  <c r="F4" i="20"/>
  <c r="C24" i="20"/>
  <c r="C43" i="20" s="1"/>
  <c r="B26" i="20"/>
  <c r="B45" i="20" s="1"/>
  <c r="B25" i="20"/>
  <c r="B44" i="20" s="1"/>
  <c r="C26" i="20"/>
  <c r="C45" i="20" s="1"/>
  <c r="C27" i="20"/>
  <c r="C46" i="20" s="1"/>
  <c r="B24" i="20"/>
  <c r="B43" i="20" s="1"/>
  <c r="E4" i="20"/>
  <c r="D4" i="20"/>
  <c r="Y4" i="20"/>
  <c r="Y5" i="20"/>
  <c r="Y6" i="20"/>
  <c r="Y7" i="20"/>
  <c r="X16" i="9"/>
  <c r="AT16" i="9" s="1"/>
  <c r="C5" i="27" l="1"/>
  <c r="B4" i="25"/>
  <c r="D40" i="24"/>
  <c r="C61" i="20"/>
  <c r="C62" i="20"/>
  <c r="B62" i="20"/>
  <c r="B61" i="20"/>
  <c r="D25" i="20"/>
  <c r="D44" i="20" s="1"/>
  <c r="D25" i="24"/>
  <c r="D24" i="20"/>
  <c r="D43" i="20" s="1"/>
  <c r="D36" i="24"/>
  <c r="D32" i="24"/>
  <c r="D31" i="24"/>
  <c r="D33" i="24"/>
  <c r="D29" i="24"/>
  <c r="D34" i="24"/>
  <c r="D38" i="24"/>
  <c r="D35" i="24"/>
  <c r="D28" i="24"/>
  <c r="D39" i="24"/>
  <c r="D37" i="24"/>
  <c r="D30" i="24"/>
  <c r="D26" i="20"/>
  <c r="D45" i="20" s="1"/>
  <c r="D26" i="24"/>
  <c r="D27" i="20"/>
  <c r="D46" i="20" s="1"/>
  <c r="D27" i="24"/>
  <c r="X17" i="9"/>
  <c r="AT17" i="9" s="1"/>
  <c r="B34" i="25" l="1"/>
  <c r="D34" i="25" s="1"/>
  <c r="F34" i="25" s="1"/>
  <c r="D62" i="20"/>
  <c r="D61" i="20"/>
  <c r="X18" i="9"/>
  <c r="AT18" i="9" s="1"/>
  <c r="X19" i="9" l="1"/>
  <c r="AT19" i="9" s="1"/>
  <c r="X20" i="9" l="1"/>
  <c r="AT20" i="9" s="1"/>
  <c r="X21" i="9" l="1"/>
  <c r="AT21" i="9" s="1"/>
  <c r="X22" i="9" l="1"/>
  <c r="AT22" i="9" s="1"/>
  <c r="X23" i="9" l="1"/>
  <c r="AT23" i="9" s="1"/>
  <c r="X24" i="9" l="1"/>
  <c r="AT24" i="9" s="1"/>
  <c r="X25" i="9" l="1"/>
  <c r="AT25" i="9" s="1"/>
  <c r="X26" i="9" l="1"/>
  <c r="AT26" i="9" s="1"/>
  <c r="D9" i="9" l="1"/>
  <c r="E25" i="9"/>
  <c r="E24" i="9"/>
  <c r="E23" i="9"/>
  <c r="E22" i="9"/>
  <c r="E21" i="9"/>
  <c r="E20" i="9"/>
  <c r="E19" i="9"/>
  <c r="E18" i="9"/>
  <c r="E17" i="9"/>
  <c r="E16" i="9"/>
  <c r="E15" i="9"/>
  <c r="J15" i="9" s="1"/>
  <c r="E14" i="9"/>
  <c r="E13" i="9"/>
  <c r="E12" i="9"/>
  <c r="E11" i="9"/>
  <c r="E10" i="9"/>
  <c r="E9" i="9"/>
  <c r="E8" i="9"/>
  <c r="J8" i="9" s="1"/>
  <c r="E7" i="9"/>
  <c r="E6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8" i="9"/>
  <c r="D7" i="9"/>
  <c r="D6" i="9"/>
  <c r="D5" i="9"/>
  <c r="G16" i="9" l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J10" i="9" l="1"/>
  <c r="AG9" i="9"/>
  <c r="J9" i="9"/>
  <c r="B1" i="9"/>
  <c r="J7" i="9"/>
  <c r="J6" i="9"/>
  <c r="J5" i="9"/>
  <c r="AT28" i="9" l="1"/>
  <c r="AU28" i="9"/>
  <c r="D28" i="9"/>
  <c r="AD27" i="9"/>
  <c r="AD28" i="9"/>
  <c r="AE28" i="9"/>
  <c r="AC27" i="9"/>
  <c r="AE27" i="9"/>
  <c r="O28" i="9"/>
  <c r="R28" i="9"/>
  <c r="L28" i="9"/>
  <c r="U28" i="9"/>
  <c r="V28" i="9"/>
  <c r="Z5" i="9" s="1"/>
  <c r="AF5" i="9" s="1"/>
  <c r="X28" i="9"/>
  <c r="AC28" i="9"/>
  <c r="G28" i="9"/>
  <c r="AG10" i="9"/>
  <c r="AV28" i="9" l="1"/>
  <c r="Q28" i="9"/>
  <c r="N28" i="9"/>
  <c r="F28" i="9"/>
  <c r="Z26" i="9"/>
  <c r="AF26" i="9" s="1"/>
  <c r="Z19" i="9"/>
  <c r="AF19" i="9" s="1"/>
  <c r="Z6" i="9"/>
  <c r="AF6" i="9" s="1"/>
  <c r="Z7" i="9"/>
  <c r="AF7" i="9" s="1"/>
  <c r="Z8" i="9"/>
  <c r="AF8" i="9" s="1"/>
  <c r="Z9" i="9"/>
  <c r="AF9" i="9" s="1"/>
  <c r="Z10" i="9"/>
  <c r="AF10" i="9" s="1"/>
  <c r="Z11" i="9"/>
  <c r="AF11" i="9" s="1"/>
  <c r="Z12" i="9"/>
  <c r="AF12" i="9" s="1"/>
  <c r="Z13" i="9"/>
  <c r="AF13" i="9" s="1"/>
  <c r="Z14" i="9"/>
  <c r="AF14" i="9" s="1"/>
  <c r="Z15" i="9"/>
  <c r="AF15" i="9" s="1"/>
  <c r="Z16" i="9"/>
  <c r="AF16" i="9" s="1"/>
  <c r="Z17" i="9"/>
  <c r="AF17" i="9" s="1"/>
  <c r="Z18" i="9"/>
  <c r="AF18" i="9" s="1"/>
  <c r="Z20" i="9"/>
  <c r="AF20" i="9" s="1"/>
  <c r="Z21" i="9"/>
  <c r="AF21" i="9" s="1"/>
  <c r="Z22" i="9"/>
  <c r="AF22" i="9" s="1"/>
  <c r="Z23" i="9"/>
  <c r="AF23" i="9" s="1"/>
  <c r="Z24" i="9"/>
  <c r="AF24" i="9" s="1"/>
  <c r="Z25" i="9"/>
  <c r="AF25" i="9" s="1"/>
  <c r="W28" i="9"/>
  <c r="AG11" i="9"/>
  <c r="J11" i="9"/>
  <c r="I85" i="7"/>
  <c r="H85" i="7"/>
  <c r="G85" i="7"/>
  <c r="F85" i="7"/>
  <c r="E85" i="7"/>
  <c r="D85" i="7"/>
  <c r="AF28" i="9" l="1"/>
  <c r="AF27" i="9"/>
  <c r="AG12" i="9"/>
  <c r="J12" i="9"/>
  <c r="I114" i="7"/>
  <c r="I115" i="7" s="1"/>
  <c r="H114" i="7"/>
  <c r="H115" i="7" s="1"/>
  <c r="G114" i="7"/>
  <c r="G115" i="7" s="1"/>
  <c r="F114" i="7"/>
  <c r="B6" i="16" s="1"/>
  <c r="E114" i="7"/>
  <c r="E115" i="7" s="1"/>
  <c r="D114" i="7"/>
  <c r="D115" i="7" s="1"/>
  <c r="F115" i="7" l="1"/>
  <c r="AG13" i="9"/>
  <c r="J13" i="9"/>
  <c r="G27" i="7"/>
  <c r="G28" i="7" s="1"/>
  <c r="H27" i="7"/>
  <c r="H28" i="7" s="1"/>
  <c r="I27" i="7"/>
  <c r="I28" i="7" s="1"/>
  <c r="AG14" i="9" l="1"/>
  <c r="J14" i="9"/>
  <c r="E27" i="7"/>
  <c r="E28" i="7" s="1"/>
  <c r="D28" i="7"/>
  <c r="F28" i="7" l="1"/>
  <c r="B3" i="16"/>
  <c r="AG15" i="9"/>
  <c r="AH15" i="9" s="1"/>
  <c r="C19" i="16" l="1"/>
  <c r="C16" i="16"/>
  <c r="C15" i="16"/>
  <c r="C17" i="16"/>
  <c r="C18" i="16"/>
  <c r="C8" i="16"/>
  <c r="C14" i="16"/>
  <c r="C13" i="16"/>
  <c r="C12" i="16"/>
  <c r="C11" i="16"/>
  <c r="C10" i="16"/>
  <c r="C9" i="16"/>
  <c r="C7" i="16"/>
  <c r="C5" i="16"/>
  <c r="C4" i="16"/>
  <c r="C6" i="16"/>
  <c r="I17" i="9"/>
  <c r="AG16" i="9"/>
  <c r="AH16" i="9" s="1"/>
  <c r="J16" i="9"/>
  <c r="I18" i="9" l="1"/>
  <c r="AG17" i="9"/>
  <c r="AH17" i="9" s="1"/>
  <c r="J17" i="9"/>
  <c r="I19" i="9" l="1"/>
  <c r="AG18" i="9"/>
  <c r="AH18" i="9" s="1"/>
  <c r="J18" i="9"/>
  <c r="I20" i="9" l="1"/>
  <c r="AG19" i="9"/>
  <c r="AH19" i="9" s="1"/>
  <c r="J19" i="9"/>
  <c r="I21" i="9" l="1"/>
  <c r="AG20" i="9"/>
  <c r="AH20" i="9" s="1"/>
  <c r="J20" i="9"/>
  <c r="I22" i="9" l="1"/>
  <c r="AG21" i="9"/>
  <c r="AH21" i="9" s="1"/>
  <c r="J21" i="9"/>
  <c r="I23" i="9" l="1"/>
  <c r="AG22" i="9"/>
  <c r="AH22" i="9" s="1"/>
  <c r="J22" i="9"/>
  <c r="I24" i="9" l="1"/>
  <c r="AG23" i="9"/>
  <c r="AH23" i="9" s="1"/>
  <c r="J23" i="9"/>
  <c r="I25" i="9" l="1"/>
  <c r="AG24" i="9"/>
  <c r="J24" i="9"/>
  <c r="AG27" i="9" l="1"/>
  <c r="AH24" i="9"/>
  <c r="AH27" i="9" s="1"/>
  <c r="I26" i="9"/>
  <c r="AG26" i="9" s="1"/>
  <c r="AH26" i="9" s="1"/>
  <c r="AG25" i="9"/>
  <c r="AH25" i="9" s="1"/>
  <c r="J25" i="9"/>
  <c r="AH28" i="9" l="1"/>
  <c r="AG28" i="9"/>
  <c r="J26" i="9"/>
  <c r="J28" i="9" l="1"/>
  <c r="I2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A5" authorId="0" shapeId="0" xr:uid="{60F444CB-F8CD-4836-8C85-C2D59AC695D6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I3" authorId="0" shapeId="0" xr:uid="{64B16C38-2351-444B-8B4B-3E696EF1E69B}">
      <text>
        <r>
          <rPr>
            <b/>
            <sz val="9"/>
            <color indexed="81"/>
            <rFont val="Tahoma"/>
            <family val="2"/>
          </rPr>
          <t>Not valid results individually due to VER cost not split between states</t>
        </r>
      </text>
    </comment>
    <comment ref="AA3" authorId="0" shapeId="0" xr:uid="{9135DC6B-680A-4A7F-A161-065B3A48EC21}">
      <text>
        <r>
          <rPr>
            <b/>
            <sz val="9"/>
            <color indexed="81"/>
            <rFont val="Tahoma"/>
            <family val="2"/>
          </rPr>
          <t>Not valid results individually due to VER cost not split between states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B4" authorId="0" shapeId="0" xr:uid="{1A4695BB-91B4-4E23-BDEC-214A576CBECE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B28" authorId="0" shapeId="0" xr:uid="{4D681743-5B77-423E-A689-06D7393D0A91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B44" authorId="0" shapeId="0" xr:uid="{6E1C55D4-BF92-4606-B245-8991D4A26375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B4" authorId="0" shapeId="0" xr:uid="{767B2A8F-DA84-4CCE-9F18-6FAB53D98D1C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B26" authorId="0" shapeId="0" xr:uid="{E484B785-08EA-4A3A-8DCC-7A5C2AB2442D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B47" authorId="0" shapeId="0" xr:uid="{344E071F-9CDE-4939-A3DF-7592BDE87645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A31" authorId="0" shapeId="0" xr:uid="{EFDABE4D-296B-4426-9C29-5F55CFDFD4A8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  <comment ref="A48" authorId="0" shapeId="0" xr:uid="{A50533B5-BAC3-4B07-A19C-3730C8076D49}">
      <text>
        <r>
          <rPr>
            <b/>
            <sz val="9"/>
            <color indexed="81"/>
            <rFont val="Tahoma"/>
            <family val="2"/>
          </rPr>
          <t>No CETA/ NCF/ SCGHG/ Energy Target</t>
        </r>
      </text>
    </comment>
  </commentList>
</comments>
</file>

<file path=xl/sharedStrings.xml><?xml version="1.0" encoding="utf-8"?>
<sst xmlns="http://schemas.openxmlformats.org/spreadsheetml/2006/main" count="1540" uniqueCount="269">
  <si>
    <t>Year</t>
  </si>
  <si>
    <t>WA</t>
  </si>
  <si>
    <t>ID</t>
  </si>
  <si>
    <t>Rev. Req.</t>
  </si>
  <si>
    <t>Total</t>
  </si>
  <si>
    <t>Rates</t>
  </si>
  <si>
    <t>NPV</t>
  </si>
  <si>
    <t>Levelized</t>
  </si>
  <si>
    <t>Idaho</t>
  </si>
  <si>
    <t>Washington</t>
  </si>
  <si>
    <t>Nameplate MW</t>
  </si>
  <si>
    <t>Shared System Resource</t>
  </si>
  <si>
    <t>NG CT</t>
  </si>
  <si>
    <t>Solar</t>
  </si>
  <si>
    <t>Storage Added to Solar</t>
  </si>
  <si>
    <t>Wind</t>
  </si>
  <si>
    <t>Storage</t>
  </si>
  <si>
    <t>DR Capability</t>
  </si>
  <si>
    <t>EE- Winter Capacity</t>
  </si>
  <si>
    <t>EE- Summer Capacity</t>
  </si>
  <si>
    <t>Optmized Cost</t>
  </si>
  <si>
    <t>Stdev</t>
  </si>
  <si>
    <t>95th V@R</t>
  </si>
  <si>
    <t>System GHG MMT</t>
  </si>
  <si>
    <t>Winter Capacity MW</t>
  </si>
  <si>
    <t>New Energy (aMW)</t>
  </si>
  <si>
    <t>New Dispatch GWh</t>
  </si>
  <si>
    <t>Sales GWh</t>
  </si>
  <si>
    <t>Net</t>
  </si>
  <si>
    <t>Gross</t>
  </si>
  <si>
    <t>Scenario</t>
  </si>
  <si>
    <t>Energy Efficiency Energy (GWh excludes losses)</t>
  </si>
  <si>
    <t>aMW w/ losses</t>
  </si>
  <si>
    <t>Discount Rate</t>
  </si>
  <si>
    <t>Escalator</t>
  </si>
  <si>
    <t>Tilted &amp; Levelized Inc. RR</t>
  </si>
  <si>
    <t>Inc. RR Validation</t>
  </si>
  <si>
    <t>Avoided Capacity Price ($/kW-yr)</t>
  </si>
  <si>
    <t>Incremental Revenue Requirement</t>
  </si>
  <si>
    <t>Incremental Winter Peak MW</t>
  </si>
  <si>
    <t>Inc. Rev. Req.</t>
  </si>
  <si>
    <t>Dispatch GWh</t>
  </si>
  <si>
    <t>$/MWh</t>
  </si>
  <si>
    <t>New Resources</t>
  </si>
  <si>
    <t>Current Natural Gas Expected GHG Emissions</t>
  </si>
  <si>
    <t>Colstrip Expected GHG Emissions</t>
  </si>
  <si>
    <t>New Resource Expected GHG Emissions</t>
  </si>
  <si>
    <t>Net Market Purchases/Sales</t>
  </si>
  <si>
    <t>Total Expected GHG Emissions</t>
  </si>
  <si>
    <t>Upstream GHG Emissions</t>
  </si>
  <si>
    <t>Construction/Operation Emissions</t>
  </si>
  <si>
    <t>Current Resources</t>
  </si>
  <si>
    <t>Upstream/Construction/Operations</t>
  </si>
  <si>
    <t>Net Market Transactions</t>
  </si>
  <si>
    <t>Clean Energy Premium ($/MWh)</t>
  </si>
  <si>
    <t>20 yr Levelized</t>
  </si>
  <si>
    <t>Net Emissions</t>
  </si>
  <si>
    <t>PRS Premium- i.e. clean premium (Portfolio 1 - Portfolio 3)</t>
  </si>
  <si>
    <t>Colstrip Emissions</t>
  </si>
  <si>
    <t>Dispatched Emissions w/ Colstrip Operating to 2025</t>
  </si>
  <si>
    <t>1- Preferred Resource Strategy</t>
  </si>
  <si>
    <t>Emissions</t>
  </si>
  <si>
    <t>Cost (Millions)</t>
  </si>
  <si>
    <t>Rates ($/kWh)</t>
  </si>
  <si>
    <t>2030 Delta</t>
  </si>
  <si>
    <t>2030 % Change</t>
  </si>
  <si>
    <t>2045 % Change</t>
  </si>
  <si>
    <t>2030 % Change to PRS</t>
  </si>
  <si>
    <t>2045 % Change to PRS</t>
  </si>
  <si>
    <t>Levelized Delta</t>
  </si>
  <si>
    <t>2045 Delta</t>
  </si>
  <si>
    <t>2045 Emissions</t>
  </si>
  <si>
    <t>New Storage Resources</t>
  </si>
  <si>
    <t>ID-PVRR ($ Mill)</t>
  </si>
  <si>
    <t>WA- PVRR ($ Mill)</t>
  </si>
  <si>
    <t>WA 2030 Rate ($/kWh)</t>
  </si>
  <si>
    <t>WA 2045 Rate ($/kWh)</t>
  </si>
  <si>
    <t>ID 2030 Rate ($/kWh)</t>
  </si>
  <si>
    <t>ID 2045 Rate ($/kWh)</t>
  </si>
  <si>
    <t>2045 GHG Emissions (MT)</t>
  </si>
  <si>
    <t>Change in  WA Rate</t>
  </si>
  <si>
    <t>Change in ID Rate</t>
  </si>
  <si>
    <t>Total PVRR ($ Mill)</t>
  </si>
  <si>
    <t>2024 Emissions</t>
  </si>
  <si>
    <t>22 yr Levelized</t>
  </si>
  <si>
    <t>Hydrogen/Ammonia</t>
  </si>
  <si>
    <t>Other "Clean" Baseload</t>
  </si>
  <si>
    <t>Existing Plant Upgrades</t>
  </si>
  <si>
    <t>2- Alternative Lowest Reasonable Cost Portfolio</t>
  </si>
  <si>
    <t>WASHINGTON</t>
  </si>
  <si>
    <t>IDAHO</t>
  </si>
  <si>
    <t>SYSTEM</t>
  </si>
  <si>
    <t>7F.04 CT Frame Greenfield</t>
  </si>
  <si>
    <t>Reciprocating Engine (ICE) Machine</t>
  </si>
  <si>
    <t>NG CCCT (1x1 w/DF)</t>
  </si>
  <si>
    <t>Small Modular Reactor</t>
  </si>
  <si>
    <t>NW Wind On System</t>
  </si>
  <si>
    <t>NW Wind Off System</t>
  </si>
  <si>
    <t>Wind Montana</t>
  </si>
  <si>
    <t>Off Shore Wind (share)</t>
  </si>
  <si>
    <t>New Residential Solar</t>
  </si>
  <si>
    <t>New Residential Storage</t>
  </si>
  <si>
    <t>Existing Residential Solar</t>
  </si>
  <si>
    <t>Existing Residential Storage</t>
  </si>
  <si>
    <t>Commercial Solar</t>
  </si>
  <si>
    <t>Commercial Storage</t>
  </si>
  <si>
    <t>Solar Photovoltaic Fixed Array (5 MW AC)</t>
  </si>
  <si>
    <t>5MW/20MWh Lith-Ion Storage</t>
  </si>
  <si>
    <t>Solar Photovoltaic w/Single Axis Tracking (100 MW AC)</t>
  </si>
  <si>
    <t>Solar Photovoltaic w/Single Axis Tracking (50 MW AC)</t>
  </si>
  <si>
    <t>Southern NW Solar Photovoltaic w/ Single Axies Tracking (100 MW AC)</t>
  </si>
  <si>
    <t>100 MW/400 MWh Lithium-ion with solar</t>
  </si>
  <si>
    <t>100 MW/200 MWh Lithium-ion with solar</t>
  </si>
  <si>
    <t>50 MW/200 MWh Lithium-ion with solar</t>
  </si>
  <si>
    <t>Distribution Scale 4hr Lithium-Ion</t>
  </si>
  <si>
    <t>Distribution Scale 8hr Lithium-Ion</t>
  </si>
  <si>
    <t>4hr Lithium-Ion</t>
  </si>
  <si>
    <t>8hr Lithium-Ion</t>
  </si>
  <si>
    <t>16hr Lithium-Ion</t>
  </si>
  <si>
    <t>4 hr Vanadium Flow Battery</t>
  </si>
  <si>
    <t>4 hr Zinc Bromide Flow Battery</t>
  </si>
  <si>
    <t>100hr Iron Oxide</t>
  </si>
  <si>
    <t>Geothermal (Off System)</t>
  </si>
  <si>
    <t xml:space="preserve">Hydrogen Fuel Cell with 40 hrs Storage </t>
  </si>
  <si>
    <t>7F.04 CT Frame Greenfield + amonia + storage</t>
  </si>
  <si>
    <t>Liquid Air</t>
  </si>
  <si>
    <t>Pumped Hydro (8.5 hr/ 400 MW share)</t>
  </si>
  <si>
    <t>Pumped Hydro (16 hr/ 100 MW)</t>
  </si>
  <si>
    <t>Pumped Hydro (24 hr/ 100 MW)</t>
  </si>
  <si>
    <t>Wood Biomass</t>
  </si>
  <si>
    <t>Rathdrum CT 2055 Uprates two unit operation</t>
  </si>
  <si>
    <t>Rathdrum CT: Inlet Evaporation 2 unit operation</t>
  </si>
  <si>
    <t>Kettle Falls Turbine Generator Upgrade</t>
  </si>
  <si>
    <t>Palouse Repower</t>
  </si>
  <si>
    <t>Rattlesnake Repower</t>
  </si>
  <si>
    <t>Lind Repower</t>
  </si>
  <si>
    <t>Low-Income Community Solar</t>
  </si>
  <si>
    <t>Placeholder</t>
  </si>
  <si>
    <t>Peak Time Rebate</t>
  </si>
  <si>
    <t>Behavioral</t>
  </si>
  <si>
    <t>DLC Central AC</t>
  </si>
  <si>
    <t>DLC Electric Vehicle Charging</t>
  </si>
  <si>
    <t>DLC Smart Appliances</t>
  </si>
  <si>
    <t>DLC Smart Thermostats - Cooling</t>
  </si>
  <si>
    <t>DLC Smart Thermostats - Heating</t>
  </si>
  <si>
    <t>DLC Water Heating</t>
  </si>
  <si>
    <t>CTA-2045 ERWH</t>
  </si>
  <si>
    <t>CTA-2045 HPWH</t>
  </si>
  <si>
    <t>Thermal Energy Storage</t>
  </si>
  <si>
    <t>Third Party Contracts</t>
  </si>
  <si>
    <t>Time-of-Use Opt-in</t>
  </si>
  <si>
    <t>Battery Energy Storage</t>
  </si>
  <si>
    <t>Electric Vehicle TOU Opt-in</t>
  </si>
  <si>
    <t>Variable Peak Pricing Rates</t>
  </si>
  <si>
    <t>Natural Gas</t>
  </si>
  <si>
    <t>Nuclear</t>
  </si>
  <si>
    <t>Montana Wind</t>
  </si>
  <si>
    <t>NW Wind</t>
  </si>
  <si>
    <t>Off Shore Wind</t>
  </si>
  <si>
    <t>Demand Response</t>
  </si>
  <si>
    <t>Utility Scale Solar</t>
  </si>
  <si>
    <t>Short Duration Storage (&lt;8hr)</t>
  </si>
  <si>
    <t>Medium Duration Storage (8-24hr)</t>
  </si>
  <si>
    <t>Long Duration Storage (&gt;24hr)</t>
  </si>
  <si>
    <t>Baseload Renewable</t>
  </si>
  <si>
    <t>Check</t>
  </si>
  <si>
    <t>2024-2033</t>
  </si>
  <si>
    <t>2034-2045</t>
  </si>
  <si>
    <t>PRS</t>
  </si>
  <si>
    <t>Alternative Lowest Reasonable Cost Portfolio</t>
  </si>
  <si>
    <t>Cost Cap</t>
  </si>
  <si>
    <t>Other Named Community Investment Fund</t>
  </si>
  <si>
    <t>Total PRS</t>
  </si>
  <si>
    <t>2026-2029</t>
  </si>
  <si>
    <t>2030-2033</t>
  </si>
  <si>
    <t>2034-2037</t>
  </si>
  <si>
    <t>2038-2041</t>
  </si>
  <si>
    <t>2042-45</t>
  </si>
  <si>
    <t>Cost Cap Spending</t>
  </si>
  <si>
    <t>2021 Generated Emissions</t>
  </si>
  <si>
    <t>Distributed Solar</t>
  </si>
  <si>
    <t>Distributed Storage</t>
  </si>
  <si>
    <t>Renewable Fuel</t>
  </si>
  <si>
    <t>6- WRAP PRM</t>
  </si>
  <si>
    <t>8- VERs Assigned to Washington</t>
  </si>
  <si>
    <t>10- High Economic Growth Loads</t>
  </si>
  <si>
    <t>11- High Electric Vehicle Growth</t>
  </si>
  <si>
    <t>14- Combined Electrification</t>
  </si>
  <si>
    <t>Capacity Only - No Additions</t>
  </si>
  <si>
    <t>Clean Capacity Premium ($/kW-Yr)</t>
  </si>
  <si>
    <t>Clean Capacity - No Additions</t>
  </si>
  <si>
    <t>PRS - Clean Capacity Case</t>
  </si>
  <si>
    <t>No Additions + Premiums</t>
  </si>
  <si>
    <t>Remaining Spending</t>
  </si>
  <si>
    <t>PRS w NCF Spending</t>
  </si>
  <si>
    <t>Delta to PRS</t>
  </si>
  <si>
    <t>Capacity Calculation (Portfolio 3 - Portfolio 4)</t>
  </si>
  <si>
    <t>Clean Capacity Calculation (Portfolio 5 - Portfolio 4)</t>
  </si>
  <si>
    <t>Flat Energy ($/MWh)</t>
  </si>
  <si>
    <t>On-Peak Energy ($/MWh)</t>
  </si>
  <si>
    <t>Off-Peak Energy  ($/MWh)</t>
  </si>
  <si>
    <t>Capacity Premium ($/kW-Yr)</t>
  </si>
  <si>
    <t>15- Clean Portfolio by 2045</t>
  </si>
  <si>
    <t>7- WRAP PRM No QCC Changes</t>
  </si>
  <si>
    <t>9- Low Economic Growth Loads</t>
  </si>
  <si>
    <t>WA 2045 Tail Risk ($ Mill)</t>
  </si>
  <si>
    <t>ID 2045 Tail Risk ($ Mill)</t>
  </si>
  <si>
    <t>WA 2045 Stdev ($ Mill)</t>
  </si>
  <si>
    <t>ID 2045 Stdev ($ Mill)</t>
  </si>
  <si>
    <t>WA 2030 Stdev ($ Mill)</t>
  </si>
  <si>
    <t>ID 2030 Stdev ($ Mill)</t>
  </si>
  <si>
    <t>22 yr WA Levelized Cost</t>
  </si>
  <si>
    <t>22 yr ID Levelized Cost</t>
  </si>
  <si>
    <t>2030-2045</t>
  </si>
  <si>
    <t>2030-45 WA Levelized Cost</t>
  </si>
  <si>
    <t>2030-45 ID Levelized Cost</t>
  </si>
  <si>
    <t>Sum</t>
  </si>
  <si>
    <t>TOTAL PVRR ($ Mill)</t>
  </si>
  <si>
    <t>Total Levelized 2.5%</t>
  </si>
  <si>
    <t>4- No Resource Additions</t>
  </si>
  <si>
    <t>Levelized Emissions (MMT)</t>
  </si>
  <si>
    <t>Change In System Cost</t>
  </si>
  <si>
    <t>Change in 22yr Emissions</t>
  </si>
  <si>
    <t xml:space="preserve">Total </t>
  </si>
  <si>
    <t>2045 Tail Risk ($ Mill)</t>
  </si>
  <si>
    <t>2030 Stdev ($ Mill)</t>
  </si>
  <si>
    <t>2045 Stdev ($ Mill)</t>
  </si>
  <si>
    <t>TOTAL Levelized PVRR ($ Mill)</t>
  </si>
  <si>
    <t>12- WA Space/ Water Electrification</t>
  </si>
  <si>
    <t>13- WA Space/ Water Electrification w/NG Backup</t>
  </si>
  <si>
    <t>System Levelized PVRR ($ Mill)</t>
  </si>
  <si>
    <t>Bounds</t>
  </si>
  <si>
    <t>High Natural Gas Prices</t>
  </si>
  <si>
    <t>Deterministic Expected Case</t>
  </si>
  <si>
    <t>PVRR</t>
  </si>
  <si>
    <t>GHG Emissions (levelized)</t>
  </si>
  <si>
    <t>Portfolio</t>
  </si>
  <si>
    <t>Stochastic Case</t>
  </si>
  <si>
    <t>Expected Case</t>
  </si>
  <si>
    <t>High NG Prices</t>
  </si>
  <si>
    <t>Low NG Prices</t>
  </si>
  <si>
    <t>Change in PVRR vs Expected Case</t>
  </si>
  <si>
    <t>Change in PVRR vs PRS</t>
  </si>
  <si>
    <t>Change in Levelized GHG MT vs PRS</t>
  </si>
  <si>
    <t>Low Natural Gas Prices</t>
  </si>
  <si>
    <t xml:space="preserve">National CO2 Tax </t>
  </si>
  <si>
    <t>Deterministic Case</t>
  </si>
  <si>
    <t>National CO2 Price</t>
  </si>
  <si>
    <t>3- Baseline Portfolio</t>
  </si>
  <si>
    <t>5- No CETA/ No new NG</t>
  </si>
  <si>
    <t>16- Social Cost Included for Idaho</t>
  </si>
  <si>
    <t>17- WA Maximum Customer Benefits</t>
  </si>
  <si>
    <t>Name</t>
  </si>
  <si>
    <t>Levelized Tail Risk ($ Mill)</t>
  </si>
  <si>
    <t>Levelized GWh</t>
  </si>
  <si>
    <t>cents/kWh</t>
  </si>
  <si>
    <t>2045 Cost</t>
  </si>
  <si>
    <t>2045 Tail Risk</t>
  </si>
  <si>
    <t>GWh</t>
  </si>
  <si>
    <t>Revenue Requirement</t>
  </si>
  <si>
    <t>TailVar95</t>
  </si>
  <si>
    <t>National GHG Price</t>
  </si>
  <si>
    <t>18- National GHG Pricing</t>
  </si>
  <si>
    <t>Change in PVRR vs Expected Case Market Pricing</t>
  </si>
  <si>
    <t>Change in Levelized GHG MT vs Expected Case Market  Pricing</t>
  </si>
  <si>
    <t>Change</t>
  </si>
  <si>
    <t>Resource Selection</t>
  </si>
  <si>
    <t>Generation Emissions Change (MMT)</t>
  </si>
  <si>
    <t>Net Emission Change (MMT)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</si>
</sst>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00"/>
    <numFmt numFmtId="167" formatCode="&quot;$&quot;#,##0.0"/>
    <numFmt numFmtId="168" formatCode="&quot;$&quot;#,##0.00"/>
    <numFmt numFmtId="169" formatCode="&quot;$&quot;#,##0.0_);\(&quot;$&quot;#,##0.0\)"/>
    <numFmt numFmtId="170" formatCode="#,##0.0"/>
    <numFmt numFmtId="171" formatCode="0.0%"/>
    <numFmt numFmtId="172" formatCode="0.000"/>
    <numFmt numFmtId="173" formatCode="0.0"/>
    <numFmt numFmtId="174" formatCode="&quot;$&quot;##&quot;m&quot;"/>
    <numFmt numFmtId="175" formatCode="_(* #,##0.000_);_(* \(#,##0.000\);_(* &quot;-&quot;??_);_(@_)"/>
    <numFmt numFmtId="176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12"/>
      <name val="Arial"/>
      <family val="2"/>
    </font>
    <font>
      <sz val="11"/>
      <color rgb="FF006100"/>
      <name val="Arial"/>
      <family val="2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ourier"/>
      <family val="3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rgb="FFF58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6BE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>
      <protection locked="0"/>
    </xf>
    <xf numFmtId="0" fontId="6" fillId="6" borderId="0" applyNumberFormat="0" applyBorder="0" applyAlignment="0">
      <protection locked="0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4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6" fillId="0" borderId="0"/>
    <xf numFmtId="0" fontId="6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7" borderId="0" applyNumberFormat="0" applyBorder="0" applyAlignment="0">
      <protection locked="0"/>
    </xf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10" fontId="3" fillId="0" borderId="0" xfId="2" applyNumberFormat="1" applyFont="1" applyFill="1" applyBorder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/>
    <xf numFmtId="0" fontId="2" fillId="0" borderId="0" xfId="0" applyFont="1"/>
    <xf numFmtId="3" fontId="2" fillId="0" borderId="0" xfId="1" applyNumberFormat="1" applyFont="1"/>
    <xf numFmtId="3" fontId="2" fillId="0" borderId="0" xfId="0" applyNumberFormat="1" applyFont="1"/>
    <xf numFmtId="3" fontId="4" fillId="0" borderId="0" xfId="0" applyNumberFormat="1" applyFont="1" applyFill="1" applyAlignment="1">
      <alignment horizontal="right"/>
    </xf>
    <xf numFmtId="3" fontId="2" fillId="0" borderId="0" xfId="1" applyNumberFormat="1" applyFont="1" applyFill="1"/>
    <xf numFmtId="166" fontId="4" fillId="0" borderId="0" xfId="0" applyNumberFormat="1" applyFont="1" applyFill="1" applyAlignment="1">
      <alignment horizontal="right"/>
    </xf>
    <xf numFmtId="166" fontId="2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2" fillId="0" borderId="0" xfId="1" applyNumberFormat="1" applyFont="1" applyFill="1"/>
    <xf numFmtId="4" fontId="2" fillId="0" borderId="0" xfId="0" applyNumberFormat="1" applyFont="1"/>
    <xf numFmtId="3" fontId="4" fillId="0" borderId="0" xfId="1" applyNumberFormat="1" applyFont="1" applyFill="1"/>
    <xf numFmtId="166" fontId="4" fillId="0" borderId="0" xfId="1" applyNumberFormat="1" applyFont="1" applyFill="1"/>
    <xf numFmtId="10" fontId="2" fillId="0" borderId="0" xfId="0" applyNumberFormat="1" applyFont="1"/>
    <xf numFmtId="9" fontId="2" fillId="0" borderId="0" xfId="0" applyNumberFormat="1" applyFont="1"/>
    <xf numFmtId="0" fontId="2" fillId="0" borderId="0" xfId="0" applyFont="1" applyAlignment="1">
      <alignment horizontal="right" wrapText="1"/>
    </xf>
    <xf numFmtId="168" fontId="2" fillId="0" borderId="0" xfId="0" applyNumberFormat="1" applyFont="1"/>
    <xf numFmtId="169" fontId="2" fillId="0" borderId="0" xfId="1" applyNumberFormat="1" applyFont="1"/>
    <xf numFmtId="7" fontId="2" fillId="0" borderId="0" xfId="0" applyNumberFormat="1" applyFont="1"/>
    <xf numFmtId="167" fontId="2" fillId="0" borderId="0" xfId="0" applyNumberFormat="1" applyFont="1"/>
    <xf numFmtId="170" fontId="2" fillId="0" borderId="0" xfId="0" applyNumberFormat="1" applyFont="1"/>
    <xf numFmtId="0" fontId="2" fillId="0" borderId="0" xfId="0" applyNumberFormat="1" applyFont="1"/>
    <xf numFmtId="8" fontId="2" fillId="0" borderId="0" xfId="0" applyNumberFormat="1" applyFont="1"/>
    <xf numFmtId="167" fontId="2" fillId="2" borderId="0" xfId="0" applyNumberFormat="1" applyFont="1" applyFill="1"/>
    <xf numFmtId="167" fontId="2" fillId="0" borderId="0" xfId="1" applyNumberFormat="1" applyFont="1"/>
    <xf numFmtId="168" fontId="2" fillId="2" borderId="0" xfId="0" applyNumberFormat="1" applyFont="1" applyFill="1"/>
    <xf numFmtId="169" fontId="2" fillId="2" borderId="0" xfId="1" applyNumberFormat="1" applyFont="1" applyFill="1"/>
    <xf numFmtId="8" fontId="2" fillId="3" borderId="0" xfId="0" applyNumberFormat="1" applyFont="1" applyFill="1"/>
    <xf numFmtId="0" fontId="6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left" vertical="top" indent="1"/>
    </xf>
    <xf numFmtId="170" fontId="6" fillId="0" borderId="0" xfId="0" applyNumberFormat="1" applyFont="1" applyFill="1"/>
    <xf numFmtId="0" fontId="3" fillId="0" borderId="1" xfId="0" applyFont="1" applyFill="1" applyBorder="1" applyAlignment="1">
      <alignment horizontal="left" vertical="top" indent="2"/>
    </xf>
    <xf numFmtId="170" fontId="3" fillId="0" borderId="2" xfId="0" applyNumberFormat="1" applyFont="1" applyFill="1" applyBorder="1"/>
    <xf numFmtId="0" fontId="2" fillId="0" borderId="3" xfId="0" applyFont="1" applyFill="1" applyBorder="1"/>
    <xf numFmtId="168" fontId="2" fillId="0" borderId="3" xfId="1" applyNumberFormat="1" applyFont="1" applyBorder="1"/>
    <xf numFmtId="168" fontId="2" fillId="0" borderId="3" xfId="0" applyNumberFormat="1" applyFont="1" applyBorder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8" fontId="4" fillId="0" borderId="3" xfId="0" applyNumberFormat="1" applyFont="1" applyBorder="1"/>
    <xf numFmtId="1" fontId="0" fillId="0" borderId="0" xfId="0" applyNumberFormat="1"/>
    <xf numFmtId="172" fontId="0" fillId="0" borderId="0" xfId="0" applyNumberFormat="1"/>
    <xf numFmtId="3" fontId="0" fillId="0" borderId="0" xfId="4" applyNumberFormat="1" applyFont="1"/>
    <xf numFmtId="3" fontId="0" fillId="0" borderId="0" xfId="0" applyNumberFormat="1"/>
    <xf numFmtId="164" fontId="2" fillId="0" borderId="0" xfId="1" applyNumberFormat="1" applyFont="1"/>
    <xf numFmtId="170" fontId="4" fillId="0" borderId="0" xfId="1" applyNumberFormat="1" applyFont="1" applyFill="1"/>
    <xf numFmtId="1" fontId="2" fillId="0" borderId="0" xfId="4" applyNumberFormat="1" applyFont="1" applyFill="1"/>
    <xf numFmtId="172" fontId="2" fillId="0" borderId="0" xfId="4" applyNumberFormat="1" applyFont="1" applyFill="1"/>
    <xf numFmtId="0" fontId="0" fillId="0" borderId="3" xfId="0" applyFill="1" applyBorder="1"/>
    <xf numFmtId="167" fontId="2" fillId="0" borderId="3" xfId="0" applyNumberFormat="1" applyFont="1" applyBorder="1"/>
    <xf numFmtId="166" fontId="2" fillId="0" borderId="0" xfId="1" applyNumberFormat="1" applyFont="1" applyFill="1"/>
    <xf numFmtId="0" fontId="4" fillId="0" borderId="3" xfId="0" applyFont="1" applyFill="1" applyBorder="1" applyAlignment="1">
      <alignment vertical="top" wrapText="1"/>
    </xf>
    <xf numFmtId="3" fontId="2" fillId="0" borderId="3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1" fontId="4" fillId="0" borderId="0" xfId="1" applyNumberFormat="1" applyFont="1" applyFill="1"/>
    <xf numFmtId="0" fontId="4" fillId="2" borderId="0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Border="1" applyAlignment="1">
      <alignment wrapText="1"/>
    </xf>
    <xf numFmtId="0" fontId="14" fillId="2" borderId="0" xfId="0" applyFont="1" applyFill="1" applyBorder="1" applyAlignment="1">
      <alignment wrapText="1"/>
    </xf>
    <xf numFmtId="3" fontId="7" fillId="0" borderId="0" xfId="1" applyNumberFormat="1" applyFont="1"/>
    <xf numFmtId="1" fontId="7" fillId="0" borderId="0" xfId="1" applyNumberFormat="1" applyFont="1"/>
    <xf numFmtId="1" fontId="7" fillId="0" borderId="0" xfId="0" applyNumberFormat="1" applyFont="1"/>
    <xf numFmtId="0" fontId="14" fillId="2" borderId="0" xfId="0" applyFont="1" applyFill="1"/>
    <xf numFmtId="0" fontId="7" fillId="0" borderId="0" xfId="0" applyFont="1" applyAlignment="1">
      <alignment wrapText="1"/>
    </xf>
    <xf numFmtId="172" fontId="7" fillId="0" borderId="0" xfId="0" applyNumberFormat="1" applyFont="1"/>
    <xf numFmtId="171" fontId="7" fillId="0" borderId="0" xfId="2" applyNumberFormat="1" applyFont="1"/>
    <xf numFmtId="9" fontId="7" fillId="0" borderId="0" xfId="2" applyFont="1"/>
    <xf numFmtId="171" fontId="4" fillId="0" borderId="0" xfId="2" applyNumberFormat="1" applyFont="1" applyFill="1"/>
    <xf numFmtId="4" fontId="4" fillId="0" borderId="0" xfId="1" applyNumberFormat="1" applyFont="1" applyFill="1"/>
    <xf numFmtId="170" fontId="7" fillId="0" borderId="0" xfId="0" applyNumberFormat="1" applyFont="1"/>
    <xf numFmtId="0" fontId="3" fillId="0" borderId="3" xfId="0" applyFont="1" applyFill="1" applyBorder="1" applyAlignment="1">
      <alignment horizontal="right" wrapText="1"/>
    </xf>
    <xf numFmtId="10" fontId="0" fillId="0" borderId="0" xfId="0" applyNumberFormat="1"/>
    <xf numFmtId="0" fontId="4" fillId="0" borderId="3" xfId="0" applyFont="1" applyFill="1" applyBorder="1" applyAlignment="1">
      <alignment horizontal="right" vertical="top" wrapText="1"/>
    </xf>
    <xf numFmtId="0" fontId="0" fillId="0" borderId="0" xfId="0" applyFill="1"/>
    <xf numFmtId="3" fontId="0" fillId="0" borderId="0" xfId="0" applyNumberFormat="1" applyFill="1"/>
    <xf numFmtId="0" fontId="0" fillId="0" borderId="0" xfId="0" applyFill="1" applyAlignment="1">
      <alignment wrapText="1"/>
    </xf>
    <xf numFmtId="166" fontId="2" fillId="0" borderId="3" xfId="0" applyNumberFormat="1" applyFont="1" applyFill="1" applyBorder="1"/>
    <xf numFmtId="4" fontId="2" fillId="0" borderId="3" xfId="0" applyNumberFormat="1" applyFont="1" applyFill="1" applyBorder="1"/>
    <xf numFmtId="171" fontId="0" fillId="0" borderId="0" xfId="2" applyNumberFormat="1" applyFont="1" applyFill="1"/>
    <xf numFmtId="3" fontId="7" fillId="0" borderId="0" xfId="0" applyNumberFormat="1" applyFont="1"/>
    <xf numFmtId="8" fontId="7" fillId="0" borderId="0" xfId="0" applyNumberFormat="1" applyFont="1"/>
    <xf numFmtId="0" fontId="4" fillId="9" borderId="0" xfId="0" applyFont="1" applyFill="1"/>
    <xf numFmtId="0" fontId="0" fillId="9" borderId="0" xfId="0" applyFill="1"/>
    <xf numFmtId="0" fontId="3" fillId="7" borderId="0" xfId="0" applyFont="1" applyFill="1" applyAlignment="1">
      <alignment horizontal="right" wrapText="1"/>
    </xf>
    <xf numFmtId="0" fontId="4" fillId="9" borderId="0" xfId="0" applyFont="1" applyFill="1" applyAlignment="1">
      <alignment wrapText="1"/>
    </xf>
    <xf numFmtId="173" fontId="6" fillId="0" borderId="0" xfId="0" applyNumberFormat="1" applyFont="1"/>
    <xf numFmtId="1" fontId="0" fillId="9" borderId="0" xfId="0" applyNumberFormat="1" applyFill="1"/>
    <xf numFmtId="1" fontId="6" fillId="0" borderId="0" xfId="0" applyNumberFormat="1" applyFont="1"/>
    <xf numFmtId="0" fontId="6" fillId="0" borderId="0" xfId="0" applyFont="1"/>
    <xf numFmtId="2" fontId="6" fillId="0" borderId="0" xfId="0" applyNumberFormat="1" applyFont="1"/>
    <xf numFmtId="173" fontId="0" fillId="9" borderId="0" xfId="0" applyNumberFormat="1" applyFill="1"/>
    <xf numFmtId="171" fontId="2" fillId="0" borderId="0" xfId="10" applyNumberFormat="1" applyFont="1"/>
    <xf numFmtId="173" fontId="0" fillId="0" borderId="0" xfId="0" applyNumberFormat="1"/>
    <xf numFmtId="0" fontId="0" fillId="0" borderId="3" xfId="0" applyBorder="1"/>
    <xf numFmtId="0" fontId="5" fillId="0" borderId="3" xfId="0" applyFont="1" applyBorder="1"/>
    <xf numFmtId="164" fontId="0" fillId="0" borderId="3" xfId="1" applyNumberFormat="1" applyFont="1" applyBorder="1"/>
    <xf numFmtId="0" fontId="5" fillId="0" borderId="3" xfId="0" applyFont="1" applyBorder="1" applyAlignment="1">
      <alignment horizontal="left" indent="1"/>
    </xf>
    <xf numFmtId="3" fontId="0" fillId="0" borderId="3" xfId="1" applyNumberFormat="1" applyFont="1" applyBorder="1"/>
    <xf numFmtId="3" fontId="0" fillId="0" borderId="3" xfId="0" applyNumberFormat="1" applyBorder="1"/>
    <xf numFmtId="3" fontId="3" fillId="0" borderId="3" xfId="0" applyNumberFormat="1" applyFont="1" applyFill="1" applyBorder="1" applyAlignment="1">
      <alignment horizontal="right" wrapText="1"/>
    </xf>
    <xf numFmtId="170" fontId="0" fillId="0" borderId="3" xfId="1" applyNumberFormat="1" applyFont="1" applyBorder="1"/>
    <xf numFmtId="170" fontId="5" fillId="0" borderId="3" xfId="0" applyNumberFormat="1" applyFont="1" applyBorder="1"/>
    <xf numFmtId="170" fontId="0" fillId="0" borderId="3" xfId="0" applyNumberFormat="1" applyBorder="1"/>
    <xf numFmtId="170" fontId="3" fillId="0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2" borderId="0" xfId="0" applyFont="1" applyFill="1"/>
    <xf numFmtId="3" fontId="0" fillId="2" borderId="0" xfId="0" applyNumberFormat="1" applyFill="1"/>
    <xf numFmtId="165" fontId="0" fillId="0" borderId="0" xfId="0" applyNumberFormat="1"/>
    <xf numFmtId="165" fontId="15" fillId="0" borderId="0" xfId="1" applyNumberFormat="1" applyFont="1"/>
    <xf numFmtId="4" fontId="0" fillId="0" borderId="0" xfId="0" applyNumberFormat="1"/>
    <xf numFmtId="171" fontId="0" fillId="0" borderId="0" xfId="2" applyNumberFormat="1" applyFont="1"/>
    <xf numFmtId="174" fontId="0" fillId="0" borderId="0" xfId="0" applyNumberFormat="1"/>
    <xf numFmtId="0" fontId="0" fillId="0" borderId="4" xfId="0" applyBorder="1"/>
    <xf numFmtId="0" fontId="0" fillId="0" borderId="5" xfId="0" applyBorder="1"/>
    <xf numFmtId="167" fontId="4" fillId="0" borderId="3" xfId="0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4" fontId="7" fillId="0" borderId="0" xfId="0" applyNumberFormat="1" applyFont="1"/>
    <xf numFmtId="3" fontId="2" fillId="0" borderId="0" xfId="0" applyNumberFormat="1" applyFont="1" applyFill="1" applyBorder="1" applyAlignment="1">
      <alignment vertical="top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170" fontId="2" fillId="0" borderId="0" xfId="0" applyNumberFormat="1" applyFont="1" applyBorder="1"/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" fontId="2" fillId="0" borderId="0" xfId="0" applyNumberFormat="1" applyFont="1" applyFill="1" applyBorder="1"/>
    <xf numFmtId="165" fontId="2" fillId="0" borderId="0" xfId="1" applyNumberFormat="1" applyFont="1" applyFill="1" applyBorder="1"/>
    <xf numFmtId="3" fontId="2" fillId="0" borderId="0" xfId="1" applyNumberFormat="1" applyFont="1" applyFill="1" applyBorder="1"/>
    <xf numFmtId="0" fontId="4" fillId="0" borderId="0" xfId="0" applyFont="1" applyFill="1" applyBorder="1" applyAlignment="1">
      <alignment horizontal="left" indent="1"/>
    </xf>
    <xf numFmtId="165" fontId="2" fillId="0" borderId="0" xfId="1" applyNumberFormat="1" applyFont="1" applyBorder="1"/>
    <xf numFmtId="3" fontId="0" fillId="0" borderId="3" xfId="0" applyNumberFormat="1" applyFill="1" applyBorder="1"/>
    <xf numFmtId="175" fontId="0" fillId="0" borderId="3" xfId="1" applyNumberFormat="1" applyFont="1" applyFill="1" applyBorder="1"/>
    <xf numFmtId="0" fontId="2" fillId="0" borderId="0" xfId="0" applyFont="1" applyFill="1" applyBorder="1" applyAlignment="1">
      <alignment horizontal="right" vertical="top" wrapText="1"/>
    </xf>
    <xf numFmtId="176" fontId="2" fillId="0" borderId="0" xfId="1" applyNumberFormat="1" applyFont="1" applyFill="1" applyBorder="1" applyAlignment="1">
      <alignment horizontal="right" vertical="top" wrapText="1"/>
    </xf>
    <xf numFmtId="175" fontId="2" fillId="0" borderId="0" xfId="1" applyNumberFormat="1" applyFont="1" applyFill="1" applyBorder="1" applyAlignment="1">
      <alignment horizontal="right" vertical="top" wrapText="1"/>
    </xf>
    <xf numFmtId="165" fontId="2" fillId="0" borderId="0" xfId="1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/>
    <xf numFmtId="0" fontId="4" fillId="0" borderId="0" xfId="0" applyFont="1" applyFill="1" applyBorder="1" applyAlignment="1">
      <alignment horizontal="right" vertical="top" wrapText="1"/>
    </xf>
    <xf numFmtId="43" fontId="0" fillId="0" borderId="0" xfId="1" applyFont="1"/>
    <xf numFmtId="43" fontId="2" fillId="0" borderId="0" xfId="1" applyFont="1" applyFill="1" applyBorder="1"/>
    <xf numFmtId="165" fontId="0" fillId="0" borderId="0" xfId="1" applyNumberFormat="1" applyFont="1" applyFill="1"/>
    <xf numFmtId="171" fontId="0" fillId="0" borderId="0" xfId="0" applyNumberFormat="1" applyFill="1"/>
    <xf numFmtId="175" fontId="0" fillId="0" borderId="0" xfId="1" applyNumberFormat="1" applyFont="1" applyFill="1"/>
    <xf numFmtId="8" fontId="2" fillId="0" borderId="0" xfId="1" applyNumberFormat="1" applyFont="1" applyFill="1" applyBorder="1"/>
    <xf numFmtId="10" fontId="3" fillId="0" borderId="0" xfId="5" applyNumberFormat="1" applyFont="1" applyFill="1" applyBorder="1"/>
    <xf numFmtId="0" fontId="4" fillId="0" borderId="0" xfId="0" applyFont="1" applyAlignment="1">
      <alignment horizontal="right"/>
    </xf>
    <xf numFmtId="0" fontId="17" fillId="10" borderId="3" xfId="0" applyFont="1" applyFill="1" applyBorder="1"/>
    <xf numFmtId="0" fontId="17" fillId="10" borderId="3" xfId="0" applyFont="1" applyFill="1" applyBorder="1" applyAlignment="1">
      <alignment vertical="top" wrapText="1"/>
    </xf>
    <xf numFmtId="0" fontId="17" fillId="10" borderId="3" xfId="0" applyFont="1" applyFill="1" applyBorder="1" applyAlignment="1">
      <alignment horizontal="right" vertical="top" wrapText="1"/>
    </xf>
    <xf numFmtId="0" fontId="18" fillId="0" borderId="3" xfId="0" applyFont="1" applyBorder="1"/>
    <xf numFmtId="171" fontId="18" fillId="0" borderId="3" xfId="2" applyNumberFormat="1" applyFont="1" applyBorder="1"/>
    <xf numFmtId="9" fontId="18" fillId="0" borderId="3" xfId="2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0" xfId="0" applyFont="1"/>
    <xf numFmtId="0" fontId="18" fillId="0" borderId="8" xfId="0" applyFont="1" applyBorder="1"/>
    <xf numFmtId="3" fontId="3" fillId="0" borderId="0" xfId="5" applyNumberFormat="1" applyFont="1" applyFill="1" applyBorder="1"/>
    <xf numFmtId="3" fontId="4" fillId="0" borderId="0" xfId="0" applyNumberFormat="1" applyFont="1" applyAlignment="1">
      <alignment horizontal="right"/>
    </xf>
    <xf numFmtId="3" fontId="2" fillId="0" borderId="0" xfId="4" applyNumberFormat="1" applyFont="1" applyFill="1"/>
    <xf numFmtId="3" fontId="4" fillId="0" borderId="0" xfId="0" applyNumberFormat="1" applyFont="1" applyFill="1"/>
    <xf numFmtId="170" fontId="4" fillId="0" borderId="0" xfId="0" applyNumberFormat="1" applyFont="1" applyAlignment="1">
      <alignment horizontal="right"/>
    </xf>
    <xf numFmtId="170" fontId="2" fillId="0" borderId="0" xfId="4" applyNumberFormat="1" applyFont="1" applyFill="1"/>
    <xf numFmtId="166" fontId="4" fillId="0" borderId="0" xfId="0" applyNumberFormat="1" applyFont="1" applyAlignment="1">
      <alignment horizontal="right"/>
    </xf>
    <xf numFmtId="166" fontId="2" fillId="0" borderId="0" xfId="4" applyNumberFormat="1" applyFont="1" applyFill="1"/>
    <xf numFmtId="0" fontId="2" fillId="0" borderId="3" xfId="0" applyFont="1" applyBorder="1"/>
    <xf numFmtId="0" fontId="4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indent="1"/>
    </xf>
    <xf numFmtId="0" fontId="4" fillId="0" borderId="3" xfId="0" applyFont="1" applyFill="1" applyBorder="1"/>
    <xf numFmtId="3" fontId="2" fillId="0" borderId="3" xfId="1" applyNumberFormat="1" applyFont="1" applyBorder="1"/>
    <xf numFmtId="3" fontId="2" fillId="0" borderId="3" xfId="0" applyNumberFormat="1" applyFont="1" applyBorder="1"/>
    <xf numFmtId="0" fontId="19" fillId="10" borderId="3" xfId="0" applyFont="1" applyFill="1" applyBorder="1" applyAlignment="1">
      <alignment wrapText="1"/>
    </xf>
    <xf numFmtId="166" fontId="0" fillId="0" borderId="0" xfId="0" applyNumberFormat="1" applyFill="1"/>
    <xf numFmtId="171" fontId="0" fillId="0" borderId="0" xfId="2" applyNumberFormat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 applyBorder="1"/>
    <xf numFmtId="43" fontId="7" fillId="0" borderId="0" xfId="1" applyFont="1"/>
    <xf numFmtId="10" fontId="2" fillId="0" borderId="0" xfId="0" applyNumberFormat="1" applyFont="1" applyBorder="1"/>
    <xf numFmtId="0" fontId="19" fillId="10" borderId="3" xfId="0" applyFont="1" applyFill="1" applyBorder="1" applyAlignment="1">
      <alignment vertical="top" wrapText="1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170" fontId="4" fillId="0" borderId="0" xfId="0" applyNumberFormat="1" applyFont="1" applyAlignment="1">
      <alignment horizontal="center" wrapText="1"/>
    </xf>
    <xf numFmtId="0" fontId="17" fillId="10" borderId="3" xfId="0" applyFont="1" applyFill="1" applyBorder="1" applyAlignment="1">
      <alignment horizontal="center" vertical="top" wrapText="1"/>
    </xf>
    <xf numFmtId="0" fontId="17" fillId="10" borderId="3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 wrapText="1"/>
    </xf>
    <xf numFmtId="166" fontId="4" fillId="0" borderId="0" xfId="0" applyNumberFormat="1" applyFont="1" applyFill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65">
    <cellStyle name="Adjustable" xfId="7" xr:uid="{00000000-0005-0000-0000-000000000000}"/>
    <cellStyle name="Adjustable 2" xfId="60" xr:uid="{00000000-0005-0000-0000-000001000000}"/>
    <cellStyle name="Bad 2" xfId="49" xr:uid="{00000000-0005-0000-0000-000002000000}"/>
    <cellStyle name="Best" xfId="8" xr:uid="{00000000-0005-0000-0000-000003000000}"/>
    <cellStyle name="Best 2" xfId="61" xr:uid="{00000000-0005-0000-0000-000004000000}"/>
    <cellStyle name="Comma" xfId="1" builtinId="3"/>
    <cellStyle name="Comma 2" xfId="4" xr:uid="{00000000-0005-0000-0000-000006000000}"/>
    <cellStyle name="Comma 2 2" xfId="15" xr:uid="{00000000-0005-0000-0000-000007000000}"/>
    <cellStyle name="Comma 2 2 2" xfId="31" xr:uid="{00000000-0005-0000-0000-000008000000}"/>
    <cellStyle name="Comma 2 2 2 2" xfId="47" xr:uid="{00000000-0005-0000-0000-000009000000}"/>
    <cellStyle name="Comma 2 2 3" xfId="41" xr:uid="{00000000-0005-0000-0000-00000A000000}"/>
    <cellStyle name="Comma 2 3" xfId="20" xr:uid="{00000000-0005-0000-0000-00000B000000}"/>
    <cellStyle name="Comma 2 3 2" xfId="32" xr:uid="{00000000-0005-0000-0000-00000C000000}"/>
    <cellStyle name="Comma 2 3 2 2" xfId="48" xr:uid="{00000000-0005-0000-0000-00000D000000}"/>
    <cellStyle name="Comma 2 3 3" xfId="42" xr:uid="{00000000-0005-0000-0000-00000E000000}"/>
    <cellStyle name="Comma 2 4" xfId="27" xr:uid="{00000000-0005-0000-0000-00000F000000}"/>
    <cellStyle name="Comma 2 4 2" xfId="45" xr:uid="{00000000-0005-0000-0000-000010000000}"/>
    <cellStyle name="Comma 2 5" xfId="37" xr:uid="{00000000-0005-0000-0000-000011000000}"/>
    <cellStyle name="Comma 2 6" xfId="13" xr:uid="{00000000-0005-0000-0000-000012000000}"/>
    <cellStyle name="Comma 3" xfId="9" xr:uid="{00000000-0005-0000-0000-000013000000}"/>
    <cellStyle name="Comma 4" xfId="17" xr:uid="{00000000-0005-0000-0000-000014000000}"/>
    <cellStyle name="Comma 5" xfId="28" xr:uid="{00000000-0005-0000-0000-000015000000}"/>
    <cellStyle name="Comma 6" xfId="38" xr:uid="{00000000-0005-0000-0000-000016000000}"/>
    <cellStyle name="Comma 7" xfId="55" xr:uid="{00000000-0005-0000-0000-000017000000}"/>
    <cellStyle name="Comma 8" xfId="59" xr:uid="{00000000-0005-0000-0000-000018000000}"/>
    <cellStyle name="Currency 2" xfId="18" xr:uid="{00000000-0005-0000-0000-000019000000}"/>
    <cellStyle name="Currency 2 2" xfId="63" xr:uid="{00000000-0005-0000-0000-00001A000000}"/>
    <cellStyle name="Currency 3" xfId="33" xr:uid="{00000000-0005-0000-0000-00001B000000}"/>
    <cellStyle name="Currency 4" xfId="56" xr:uid="{00000000-0005-0000-0000-00001C000000}"/>
    <cellStyle name="Good 2" xfId="11" xr:uid="{00000000-0005-0000-0000-00001D000000}"/>
    <cellStyle name="Good 3" xfId="50" xr:uid="{00000000-0005-0000-0000-00001E000000}"/>
    <cellStyle name="Normal" xfId="0" builtinId="0"/>
    <cellStyle name="Normal 10" xfId="54" xr:uid="{00000000-0005-0000-0000-000020000000}"/>
    <cellStyle name="Normal 11" xfId="58" xr:uid="{00000000-0005-0000-0000-000021000000}"/>
    <cellStyle name="Normal 2" xfId="3" xr:uid="{00000000-0005-0000-0000-000022000000}"/>
    <cellStyle name="Normal 2 2" xfId="14" xr:uid="{00000000-0005-0000-0000-000023000000}"/>
    <cellStyle name="Normal 2 2 2" xfId="30" xr:uid="{00000000-0005-0000-0000-000024000000}"/>
    <cellStyle name="Normal 2 2 2 2" xfId="46" xr:uid="{00000000-0005-0000-0000-000025000000}"/>
    <cellStyle name="Normal 2 2 3" xfId="40" xr:uid="{00000000-0005-0000-0000-000026000000}"/>
    <cellStyle name="Normal 2 3" xfId="26" xr:uid="{00000000-0005-0000-0000-000027000000}"/>
    <cellStyle name="Normal 2 3 2" xfId="44" xr:uid="{00000000-0005-0000-0000-000028000000}"/>
    <cellStyle name="Normal 2 4" xfId="36" xr:uid="{00000000-0005-0000-0000-000029000000}"/>
    <cellStyle name="Normal 2 5" xfId="51" xr:uid="{00000000-0005-0000-0000-00002A000000}"/>
    <cellStyle name="Normal 2 6" xfId="12" xr:uid="{00000000-0005-0000-0000-00002B000000}"/>
    <cellStyle name="Normal 3" xfId="6" xr:uid="{00000000-0005-0000-0000-00002C000000}"/>
    <cellStyle name="Normal 3 2" xfId="53" xr:uid="{00000000-0005-0000-0000-00002D000000}"/>
    <cellStyle name="Normal 4" xfId="16" xr:uid="{00000000-0005-0000-0000-00002E000000}"/>
    <cellStyle name="Normal 5" xfId="25" xr:uid="{00000000-0005-0000-0000-00002F000000}"/>
    <cellStyle name="Normal 52" xfId="22" xr:uid="{00000000-0005-0000-0000-000030000000}"/>
    <cellStyle name="Normal 52 2" xfId="64" xr:uid="{00000000-0005-0000-0000-000031000000}"/>
    <cellStyle name="Normal 53" xfId="23" xr:uid="{00000000-0005-0000-0000-000032000000}"/>
    <cellStyle name="Normal 54" xfId="21" xr:uid="{00000000-0005-0000-0000-000033000000}"/>
    <cellStyle name="Normal 6" xfId="24" xr:uid="{00000000-0005-0000-0000-000034000000}"/>
    <cellStyle name="Normal 6 2" xfId="43" xr:uid="{00000000-0005-0000-0000-000035000000}"/>
    <cellStyle name="Normal 7" xfId="35" xr:uid="{00000000-0005-0000-0000-000036000000}"/>
    <cellStyle name="Normal 8" xfId="34" xr:uid="{00000000-0005-0000-0000-000037000000}"/>
    <cellStyle name="Normal 9" xfId="52" xr:uid="{00000000-0005-0000-0000-000038000000}"/>
    <cellStyle name="Percent" xfId="2" builtinId="5"/>
    <cellStyle name="Percent 2" xfId="5" xr:uid="{00000000-0005-0000-0000-00003A000000}"/>
    <cellStyle name="Percent 2 2" xfId="10" xr:uid="{00000000-0005-0000-0000-00003B000000}"/>
    <cellStyle name="Percent 3" xfId="19" xr:uid="{00000000-0005-0000-0000-00003C000000}"/>
    <cellStyle name="Percent 4" xfId="29" xr:uid="{00000000-0005-0000-0000-00003D000000}"/>
    <cellStyle name="Percent 5" xfId="39" xr:uid="{00000000-0005-0000-0000-00003E000000}"/>
    <cellStyle name="Percent 6" xfId="57" xr:uid="{00000000-0005-0000-0000-00003F000000}"/>
    <cellStyle name="Percent 7" xfId="62" xr:uid="{00000000-0005-0000-0000-000040000000}"/>
  </cellStyles>
  <dxfs count="33"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82C341"/>
      <color rgb="FF96D1F2"/>
      <color rgb="FF0076BE"/>
      <color rgb="FFF58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6137783661998"/>
          <c:y val="9.5717677564473067E-2"/>
          <c:w val="0.85047992009848328"/>
          <c:h val="0.76025356654935372"/>
        </c:manualLayout>
      </c:layout>
      <c:lineChart>
        <c:grouping val="standard"/>
        <c:varyColors val="0"/>
        <c:ser>
          <c:idx val="0"/>
          <c:order val="0"/>
          <c:tx>
            <c:strRef>
              <c:f>'Summary Data'!$J$2</c:f>
              <c:strCache>
                <c:ptCount val="1"/>
                <c:pt idx="0">
                  <c:v>WA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5.3333324374454698E-2"/>
                  <c:y val="-5.03144577421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14-4F37-9568-83EEFB9A43DC}"/>
                </c:ext>
              </c:extLst>
            </c:dLbl>
            <c:dLbl>
              <c:idx val="21"/>
              <c:layout>
                <c:manualLayout>
                  <c:x val="-5.1199991399476508E-2"/>
                  <c:y val="-3.870342903238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4-4F37-9568-83EEFB9A43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Data'!$C$5:$C$26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'Summary Data'!$J$5:$J$26</c:f>
              <c:numCache>
                <c:formatCode>#,##0.000</c:formatCode>
                <c:ptCount val="22"/>
                <c:pt idx="0">
                  <c:v>0.11356376331802349</c:v>
                </c:pt>
                <c:pt idx="1">
                  <c:v>0.11700757681961146</c:v>
                </c:pt>
                <c:pt idx="2">
                  <c:v>0.11922333229143015</c:v>
                </c:pt>
                <c:pt idx="3">
                  <c:v>0.12181938165817542</c:v>
                </c:pt>
                <c:pt idx="4">
                  <c:v>0.12555491290508478</c:v>
                </c:pt>
                <c:pt idx="5">
                  <c:v>0.12903773791849518</c:v>
                </c:pt>
                <c:pt idx="6">
                  <c:v>0.13267359510523058</c:v>
                </c:pt>
                <c:pt idx="7">
                  <c:v>0.13747378320789347</c:v>
                </c:pt>
                <c:pt idx="8">
                  <c:v>0.14206391377086489</c:v>
                </c:pt>
                <c:pt idx="9">
                  <c:v>0.14541833158237807</c:v>
                </c:pt>
                <c:pt idx="10">
                  <c:v>0.14617573486382199</c:v>
                </c:pt>
                <c:pt idx="11">
                  <c:v>0.15024310398534432</c:v>
                </c:pt>
                <c:pt idx="12">
                  <c:v>0.15621879872099415</c:v>
                </c:pt>
                <c:pt idx="13">
                  <c:v>0.1602721261670986</c:v>
                </c:pt>
                <c:pt idx="14">
                  <c:v>0.16397259993059077</c:v>
                </c:pt>
                <c:pt idx="15">
                  <c:v>0.17145637979281012</c:v>
                </c:pt>
                <c:pt idx="16">
                  <c:v>0.17427726239777466</c:v>
                </c:pt>
                <c:pt idx="17">
                  <c:v>0.17969159137707019</c:v>
                </c:pt>
                <c:pt idx="18">
                  <c:v>0.19186011274628614</c:v>
                </c:pt>
                <c:pt idx="19">
                  <c:v>0.19915516016697149</c:v>
                </c:pt>
                <c:pt idx="20">
                  <c:v>0.20606569710420519</c:v>
                </c:pt>
                <c:pt idx="21">
                  <c:v>0.23402456426830173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0A-4ADC-8478-0B5AE9E5ADAD}"/>
            </c:ext>
          </c:extLst>
        </c:ser>
        <c:ser>
          <c:idx val="1"/>
          <c:order val="1"/>
          <c:tx>
            <c:strRef>
              <c:f>'Summary Data'!$K$2</c:f>
              <c:strCache>
                <c:ptCount val="1"/>
                <c:pt idx="0">
                  <c:v>ID</c:v>
                </c:pt>
              </c:strCache>
            </c:strRef>
          </c:tx>
          <c:spPr>
            <a:ln w="412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2.133332974978188E-3"/>
                  <c:y val="2.7092400322670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14-4F37-9568-83EEFB9A43DC}"/>
                </c:ext>
              </c:extLst>
            </c:dLbl>
            <c:dLbl>
              <c:idx val="21"/>
              <c:layout>
                <c:manualLayout>
                  <c:x val="-2.1333329749781881E-2"/>
                  <c:y val="6.1925486451818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4-4F37-9568-83EEFB9A43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'Summary Data'!$C$5:$C$26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'Summary Data'!$K$5:$K$26</c:f>
              <c:numCache>
                <c:formatCode>#,##0.000</c:formatCode>
                <c:ptCount val="22"/>
                <c:pt idx="0">
                  <c:v>0.10392305090030773</c:v>
                </c:pt>
                <c:pt idx="1">
                  <c:v>0.10610308494819198</c:v>
                </c:pt>
                <c:pt idx="2">
                  <c:v>0.11026899263578525</c:v>
                </c:pt>
                <c:pt idx="3">
                  <c:v>0.11085816184377968</c:v>
                </c:pt>
                <c:pt idx="4">
                  <c:v>0.112930258351195</c:v>
                </c:pt>
                <c:pt idx="5">
                  <c:v>0.11554502899447401</c:v>
                </c:pt>
                <c:pt idx="6">
                  <c:v>0.1185973018302955</c:v>
                </c:pt>
                <c:pt idx="7">
                  <c:v>0.12218286842382195</c:v>
                </c:pt>
                <c:pt idx="8">
                  <c:v>0.12512673130593563</c:v>
                </c:pt>
                <c:pt idx="9">
                  <c:v>0.12735471556333114</c:v>
                </c:pt>
                <c:pt idx="10">
                  <c:v>0.13022962090731169</c:v>
                </c:pt>
                <c:pt idx="11">
                  <c:v>0.13394272155201173</c:v>
                </c:pt>
                <c:pt idx="12">
                  <c:v>0.13706602189248671</c:v>
                </c:pt>
                <c:pt idx="13">
                  <c:v>0.14053070023927886</c:v>
                </c:pt>
                <c:pt idx="14">
                  <c:v>0.14355419284469745</c:v>
                </c:pt>
                <c:pt idx="15">
                  <c:v>0.14859228049469481</c:v>
                </c:pt>
                <c:pt idx="16">
                  <c:v>0.1512053284219628</c:v>
                </c:pt>
                <c:pt idx="17">
                  <c:v>0.15244770941997274</c:v>
                </c:pt>
                <c:pt idx="18">
                  <c:v>0.1602639870528251</c:v>
                </c:pt>
                <c:pt idx="19">
                  <c:v>0.1662796637358071</c:v>
                </c:pt>
                <c:pt idx="20">
                  <c:v>0.17159350599402406</c:v>
                </c:pt>
                <c:pt idx="21">
                  <c:v>0.18460326731151203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0A-4ADC-8478-0B5AE9E5A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221424"/>
        <c:axId val="789223056"/>
      </c:lineChart>
      <c:catAx>
        <c:axId val="7892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9223056"/>
        <c:crosses val="autoZero"/>
        <c:auto val="1"/>
        <c:lblAlgn val="ctr"/>
        <c:lblOffset val="100"/>
        <c:noMultiLvlLbl val="0"/>
      </c:catAx>
      <c:valAx>
        <c:axId val="78922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Dollars per kWh</a:t>
                </a:r>
              </a:p>
            </c:rich>
          </c:tx>
          <c:layout>
            <c:manualLayout>
              <c:xMode val="edge"/>
              <c:yMode val="edge"/>
              <c:x val="2.0113298458658526E-2"/>
              <c:y val="0.316016240812125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92214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324581329988619"/>
          <c:y val="0.10777269248191942"/>
          <c:w val="0.18304013723210294"/>
          <c:h val="6.1730140798198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115033859645301"/>
          <c:y val="2.8673826297367488E-2"/>
          <c:w val="0.4754871371726172"/>
          <c:h val="0.8762333388546356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Risk!$G$46</c:f>
              <c:strCache>
                <c:ptCount val="1"/>
                <c:pt idx="0">
                  <c:v>Revenue Requirement</c:v>
                </c:pt>
              </c:strCache>
            </c:strRef>
          </c:tx>
          <c:spPr>
            <a:solidFill>
              <a:srgbClr val="96D1F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Risk!$G$47:$G$63</c:f>
              <c:numCache>
                <c:formatCode>_(* #,##0.00_);_(* \(#,##0.00\);_(* "-"??_);_(@_)</c:formatCode>
                <c:ptCount val="17"/>
                <c:pt idx="0">
                  <c:v>17.886918198682629</c:v>
                </c:pt>
                <c:pt idx="1">
                  <c:v>19.037745390199696</c:v>
                </c:pt>
                <c:pt idx="2">
                  <c:v>20.048159498183118</c:v>
                </c:pt>
                <c:pt idx="3">
                  <c:v>20.32765154518054</c:v>
                </c:pt>
                <c:pt idx="4">
                  <c:v>20.513914295717854</c:v>
                </c:pt>
                <c:pt idx="5">
                  <c:v>20.722153725459226</c:v>
                </c:pt>
                <c:pt idx="6">
                  <c:v>20.693737784249585</c:v>
                </c:pt>
                <c:pt idx="7">
                  <c:v>20.911999364321687</c:v>
                </c:pt>
                <c:pt idx="8">
                  <c:v>20.851704204096844</c:v>
                </c:pt>
                <c:pt idx="9">
                  <c:v>21.108895724915506</c:v>
                </c:pt>
                <c:pt idx="10">
                  <c:v>21.443863434413437</c:v>
                </c:pt>
                <c:pt idx="11">
                  <c:v>21.765779877072099</c:v>
                </c:pt>
                <c:pt idx="12">
                  <c:v>22.084405073414061</c:v>
                </c:pt>
                <c:pt idx="13">
                  <c:v>23.266871146626951</c:v>
                </c:pt>
                <c:pt idx="14">
                  <c:v>23.776566663260049</c:v>
                </c:pt>
                <c:pt idx="15">
                  <c:v>24.322387728987781</c:v>
                </c:pt>
                <c:pt idx="16">
                  <c:v>25.092717630112659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1-4747-87C3-B23CDF6325DC}"/>
            </c:ext>
          </c:extLst>
        </c:ser>
        <c:ser>
          <c:idx val="2"/>
          <c:order val="1"/>
          <c:tx>
            <c:strRef>
              <c:f>Risk!$H$46</c:f>
              <c:strCache>
                <c:ptCount val="1"/>
                <c:pt idx="0">
                  <c:v>TailVar95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val>
            <c:numRef>
              <c:f>Risk!$H$47:$H$63</c:f>
              <c:numCache>
                <c:formatCode>_(* #,##0.00_);_(* \(#,##0.00\);_(* "-"??_);_(@_)</c:formatCode>
                <c:ptCount val="17"/>
                <c:pt idx="0">
                  <c:v>0.74858288818024721</c:v>
                </c:pt>
                <c:pt idx="1">
                  <c:v>0.77931107217584561</c:v>
                </c:pt>
                <c:pt idx="2">
                  <c:v>0.87881910853137613</c:v>
                </c:pt>
                <c:pt idx="3">
                  <c:v>1.2492601413046125</c:v>
                </c:pt>
                <c:pt idx="4">
                  <c:v>0.92064135141700398</c:v>
                </c:pt>
                <c:pt idx="5">
                  <c:v>0.66641406400148973</c:v>
                </c:pt>
                <c:pt idx="6">
                  <c:v>0.70041871155810898</c:v>
                </c:pt>
                <c:pt idx="7">
                  <c:v>0.77029673843529156</c:v>
                </c:pt>
                <c:pt idx="8">
                  <c:v>0.67733699343808973</c:v>
                </c:pt>
                <c:pt idx="9">
                  <c:v>0.80271030606610017</c:v>
                </c:pt>
                <c:pt idx="10">
                  <c:v>0.81545801138969676</c:v>
                </c:pt>
                <c:pt idx="11">
                  <c:v>0.98924870822776734</c:v>
                </c:pt>
                <c:pt idx="12">
                  <c:v>0.74047282088633626</c:v>
                </c:pt>
                <c:pt idx="13">
                  <c:v>0.97226963247378073</c:v>
                </c:pt>
                <c:pt idx="14">
                  <c:v>0.53774141647640405</c:v>
                </c:pt>
                <c:pt idx="15">
                  <c:v>0.55904529026424987</c:v>
                </c:pt>
                <c:pt idx="16">
                  <c:v>0.81194451697007053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91-4747-87C3-B23CDF6325DC}"/>
            </c:ext>
          </c:extLst>
        </c:ser>
        <c:ser>
          <c:idx val="0"/>
          <c:order val="2"/>
          <c:tx>
            <c:strRef>
              <c:f>Risk!$F$46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Risk!$A$47:$A$63</c:f>
              <c:strCache>
                <c:ptCount val="17"/>
                <c:pt idx="0">
                  <c:v>4- No Resource Additions</c:v>
                </c:pt>
                <c:pt idx="1">
                  <c:v>3- Baseline Portfolio</c:v>
                </c:pt>
                <c:pt idx="2">
                  <c:v>2- Alternative Lowest Reasonable Cost Portfolio</c:v>
                </c:pt>
                <c:pt idx="3">
                  <c:v>5- No CETA/ No new NG</c:v>
                </c:pt>
                <c:pt idx="4">
                  <c:v>10- High Economic Growth Loads</c:v>
                </c:pt>
                <c:pt idx="5">
                  <c:v>11- High Electric Vehicle Growth</c:v>
                </c:pt>
                <c:pt idx="6">
                  <c:v>7- WRAP PRM No QCC Changes</c:v>
                </c:pt>
                <c:pt idx="7">
                  <c:v>1- Preferred Resource Strategy</c:v>
                </c:pt>
                <c:pt idx="8">
                  <c:v>8- VERs Assigned to Washington</c:v>
                </c:pt>
                <c:pt idx="9">
                  <c:v>16- Social Cost Included for Idaho</c:v>
                </c:pt>
                <c:pt idx="10">
                  <c:v>6- WRAP PRM</c:v>
                </c:pt>
                <c:pt idx="11">
                  <c:v>9- Low Economic Growth Loads</c:v>
                </c:pt>
                <c:pt idx="12">
                  <c:v>13- WA Space/ Water Electrification w/NG Backup</c:v>
                </c:pt>
                <c:pt idx="13">
                  <c:v>12- WA Space/ Water Electrification</c:v>
                </c:pt>
                <c:pt idx="14">
                  <c:v>15- Clean Portfolio by 2045</c:v>
                </c:pt>
                <c:pt idx="15">
                  <c:v>14- Combined Electrification</c:v>
                </c:pt>
                <c:pt idx="16">
                  <c:v>17- WA Maximum Customer Benefits</c:v>
                </c:pt>
              </c:strCache>
            </c:strRef>
          </c:cat>
          <c:val>
            <c:numRef>
              <c:f>Risk!$F$47:$F$63</c:f>
              <c:numCache>
                <c:formatCode>_(* #,##0.00_);_(* \(#,##0.00\);_(* "-"??_);_(@_)</c:formatCode>
                <c:ptCount val="17"/>
                <c:pt idx="0">
                  <c:v>18.635501086862877</c:v>
                </c:pt>
                <c:pt idx="1">
                  <c:v>19.81705646237554</c:v>
                </c:pt>
                <c:pt idx="2">
                  <c:v>20.926978606714499</c:v>
                </c:pt>
                <c:pt idx="3">
                  <c:v>21.576911686485154</c:v>
                </c:pt>
                <c:pt idx="4">
                  <c:v>21.434555647134861</c:v>
                </c:pt>
                <c:pt idx="5">
                  <c:v>21.388567789460712</c:v>
                </c:pt>
                <c:pt idx="6">
                  <c:v>21.394156495807692</c:v>
                </c:pt>
                <c:pt idx="7">
                  <c:v>21.682296102756979</c:v>
                </c:pt>
                <c:pt idx="8">
                  <c:v>21.529041197534937</c:v>
                </c:pt>
                <c:pt idx="9">
                  <c:v>21.911606030981609</c:v>
                </c:pt>
                <c:pt idx="10">
                  <c:v>22.259321445803135</c:v>
                </c:pt>
                <c:pt idx="11">
                  <c:v>22.755028585299868</c:v>
                </c:pt>
                <c:pt idx="12">
                  <c:v>22.8248778943004</c:v>
                </c:pt>
                <c:pt idx="13">
                  <c:v>24.23914077910073</c:v>
                </c:pt>
                <c:pt idx="14">
                  <c:v>24.314308079736453</c:v>
                </c:pt>
                <c:pt idx="15">
                  <c:v>24.881433019252036</c:v>
                </c:pt>
                <c:pt idx="16">
                  <c:v>25.904662147082728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4747-87C3-B23CDF632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4606319"/>
        <c:axId val="634612559"/>
      </c:barChart>
      <c:catAx>
        <c:axId val="634606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612559"/>
        <c:crosses val="autoZero"/>
        <c:auto val="1"/>
        <c:lblAlgn val="ctr"/>
        <c:lblOffset val="100"/>
        <c:noMultiLvlLbl val="0"/>
      </c:catAx>
      <c:valAx>
        <c:axId val="634612559"/>
        <c:scaling>
          <c:orientation val="minMax"/>
          <c:max val="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Cents per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60631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971851713536809E-2"/>
          <c:y val="0.92453693412552729"/>
          <c:w val="0.29488225050491484"/>
          <c:h val="5.4609374021841781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30198493952551E-2"/>
          <c:y val="3.9890671162393893E-2"/>
          <c:w val="0.90413657436030703"/>
          <c:h val="0.87299799646938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'GHG-PRS'!$A$14</c:f>
              <c:strCache>
                <c:ptCount val="1"/>
                <c:pt idx="0">
                  <c:v>Current Resources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'GHG-PRS'!$D$14:$Y$14</c:f>
              <c:numCache>
                <c:formatCode>#,##0.0</c:formatCode>
                <c:ptCount val="22"/>
                <c:pt idx="0">
                  <c:v>2.9672417086309277</c:v>
                </c:pt>
                <c:pt idx="1">
                  <c:v>2.7196586755011132</c:v>
                </c:pt>
                <c:pt idx="2">
                  <c:v>1.4922093815351607</c:v>
                </c:pt>
                <c:pt idx="3">
                  <c:v>1.4329042999731518</c:v>
                </c:pt>
                <c:pt idx="4">
                  <c:v>1.4184150619134281</c:v>
                </c:pt>
                <c:pt idx="5">
                  <c:v>1.3845054987276737</c:v>
                </c:pt>
                <c:pt idx="6">
                  <c:v>1.4482233725931652</c:v>
                </c:pt>
                <c:pt idx="7">
                  <c:v>1.3178533229172604</c:v>
                </c:pt>
                <c:pt idx="8">
                  <c:v>1.2400831169937785</c:v>
                </c:pt>
                <c:pt idx="9">
                  <c:v>1.2104176768359198</c:v>
                </c:pt>
                <c:pt idx="10">
                  <c:v>1.1830499255774227</c:v>
                </c:pt>
                <c:pt idx="11">
                  <c:v>1.184735001764377</c:v>
                </c:pt>
                <c:pt idx="12">
                  <c:v>1.1632062461186194</c:v>
                </c:pt>
                <c:pt idx="13">
                  <c:v>1.1328432924979432</c:v>
                </c:pt>
                <c:pt idx="14">
                  <c:v>1.0838943776333174</c:v>
                </c:pt>
                <c:pt idx="15">
                  <c:v>1.0693811198868441</c:v>
                </c:pt>
                <c:pt idx="16">
                  <c:v>1.051925766649793</c:v>
                </c:pt>
                <c:pt idx="17">
                  <c:v>1.0095941009765625</c:v>
                </c:pt>
                <c:pt idx="18">
                  <c:v>0.63625085715494789</c:v>
                </c:pt>
                <c:pt idx="19">
                  <c:v>0.63683496030598963</c:v>
                </c:pt>
                <c:pt idx="20">
                  <c:v>0.69541616561848962</c:v>
                </c:pt>
                <c:pt idx="21">
                  <c:v>0.159892515235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A-41F1-8A0B-F37E55B60A33}"/>
            </c:ext>
          </c:extLst>
        </c:ser>
        <c:ser>
          <c:idx val="1"/>
          <c:order val="1"/>
          <c:tx>
            <c:strRef>
              <c:f>'GHG-PRS'!$A$15</c:f>
              <c:strCache>
                <c:ptCount val="1"/>
                <c:pt idx="0">
                  <c:v>New Resources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'GHG-PRS'!$D$15:$Y$15</c:f>
              <c:numCache>
                <c:formatCode>#,##0.0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0.10597466476569671</c:v>
                </c:pt>
                <c:pt idx="11">
                  <c:v>0.11004503696341782</c:v>
                </c:pt>
                <c:pt idx="12">
                  <c:v>0.11015279434572144</c:v>
                </c:pt>
                <c:pt idx="13">
                  <c:v>0.10924082496059875</c:v>
                </c:pt>
                <c:pt idx="14">
                  <c:v>0.10844413854022295</c:v>
                </c:pt>
                <c:pt idx="15">
                  <c:v>0.10876366504040337</c:v>
                </c:pt>
                <c:pt idx="16">
                  <c:v>0.1110618489929123</c:v>
                </c:pt>
                <c:pt idx="17">
                  <c:v>0.16244521701346215</c:v>
                </c:pt>
                <c:pt idx="18">
                  <c:v>0.29072223507180744</c:v>
                </c:pt>
                <c:pt idx="19">
                  <c:v>0.29475410239181687</c:v>
                </c:pt>
                <c:pt idx="20">
                  <c:v>0.33301150191134726</c:v>
                </c:pt>
                <c:pt idx="21">
                  <c:v>0.4006960352269171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A-41F1-8A0B-F37E55B60A33}"/>
            </c:ext>
          </c:extLst>
        </c:ser>
        <c:ser>
          <c:idx val="2"/>
          <c:order val="2"/>
          <c:tx>
            <c:strRef>
              <c:f>'GHG-PRS'!$A$16</c:f>
              <c:strCache>
                <c:ptCount val="1"/>
                <c:pt idx="0">
                  <c:v>Net Market Transactions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'GHG-PRS'!$D$16:$Y$16</c:f>
              <c:numCache>
                <c:formatCode>#,##0.0</c:formatCode>
                <c:ptCount val="22"/>
                <c:pt idx="0">
                  <c:v>-0.5140247392744639</c:v>
                </c:pt>
                <c:pt idx="1">
                  <c:v>-0.45195432746446373</c:v>
                </c:pt>
                <c:pt idx="2">
                  <c:v>-0.13454467772946924</c:v>
                </c:pt>
                <c:pt idx="3">
                  <c:v>9.9322253411847153E-2</c:v>
                </c:pt>
                <c:pt idx="4">
                  <c:v>0.15466819241987742</c:v>
                </c:pt>
                <c:pt idx="5">
                  <c:v>0.17246260710886463</c:v>
                </c:pt>
                <c:pt idx="6">
                  <c:v>5.1573982396952989E-3</c:v>
                </c:pt>
                <c:pt idx="7">
                  <c:v>5.034748317553861E-2</c:v>
                </c:pt>
                <c:pt idx="8">
                  <c:v>-1.1313749863138947E-2</c:v>
                </c:pt>
                <c:pt idx="9">
                  <c:v>-7.6602441014260669E-2</c:v>
                </c:pt>
                <c:pt idx="10">
                  <c:v>2.9454578078570375E-2</c:v>
                </c:pt>
                <c:pt idx="11">
                  <c:v>4.2185073854652928E-2</c:v>
                </c:pt>
                <c:pt idx="12">
                  <c:v>6.9155089624084592E-2</c:v>
                </c:pt>
                <c:pt idx="13">
                  <c:v>0.10714679310378694</c:v>
                </c:pt>
                <c:pt idx="14">
                  <c:v>0.1407883369127996</c:v>
                </c:pt>
                <c:pt idx="15">
                  <c:v>0.23734587890047826</c:v>
                </c:pt>
                <c:pt idx="16">
                  <c:v>0.28458234368389085</c:v>
                </c:pt>
                <c:pt idx="17">
                  <c:v>9.4328610095860299E-2</c:v>
                </c:pt>
                <c:pt idx="18">
                  <c:v>3.4106751875070528E-2</c:v>
                </c:pt>
                <c:pt idx="19">
                  <c:v>0.11636980920717929</c:v>
                </c:pt>
                <c:pt idx="20">
                  <c:v>0.10894742036216186</c:v>
                </c:pt>
                <c:pt idx="21">
                  <c:v>0.11780067327845986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A-41F1-8A0B-F37E55B60A33}"/>
            </c:ext>
          </c:extLst>
        </c:ser>
        <c:ser>
          <c:idx val="3"/>
          <c:order val="3"/>
          <c:tx>
            <c:strRef>
              <c:f>'GHG-PRS'!$A$17</c:f>
              <c:strCache>
                <c:ptCount val="1"/>
                <c:pt idx="0">
                  <c:v>Upstream/Construction/Operations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'GHG-PRS'!$D$2:$Y$2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'GHG-PRS'!$D$17:$Y$17</c:f>
              <c:numCache>
                <c:formatCode>#,##0.0</c:formatCode>
                <c:ptCount val="22"/>
                <c:pt idx="0">
                  <c:v>9.2569115523389672E-2</c:v>
                </c:pt>
                <c:pt idx="1">
                  <c:v>8.7104467116938894E-2</c:v>
                </c:pt>
                <c:pt idx="2">
                  <c:v>8.3530277352554111E-2</c:v>
                </c:pt>
                <c:pt idx="3">
                  <c:v>7.8718613307645902E-2</c:v>
                </c:pt>
                <c:pt idx="4">
                  <c:v>7.5885895162774469E-2</c:v>
                </c:pt>
                <c:pt idx="5">
                  <c:v>7.4073601051870192E-2</c:v>
                </c:pt>
                <c:pt idx="6">
                  <c:v>8.6021863496454284E-2</c:v>
                </c:pt>
                <c:pt idx="7">
                  <c:v>7.9878586936136711E-2</c:v>
                </c:pt>
                <c:pt idx="8">
                  <c:v>8.6429717056867084E-2</c:v>
                </c:pt>
                <c:pt idx="9">
                  <c:v>8.4324456167504572E-2</c:v>
                </c:pt>
                <c:pt idx="10">
                  <c:v>8.2449920132859816E-2</c:v>
                </c:pt>
                <c:pt idx="11">
                  <c:v>8.2195804275525058E-2</c:v>
                </c:pt>
                <c:pt idx="12">
                  <c:v>8.1242192839204377E-2</c:v>
                </c:pt>
                <c:pt idx="13">
                  <c:v>7.942846673058393E-2</c:v>
                </c:pt>
                <c:pt idx="14">
                  <c:v>7.6209761066484097E-2</c:v>
                </c:pt>
                <c:pt idx="15">
                  <c:v>7.5314632742270543E-2</c:v>
                </c:pt>
                <c:pt idx="16">
                  <c:v>7.3897675622424219E-2</c:v>
                </c:pt>
                <c:pt idx="17">
                  <c:v>7.2839357442555541E-2</c:v>
                </c:pt>
                <c:pt idx="18">
                  <c:v>4.9179791686308247E-2</c:v>
                </c:pt>
                <c:pt idx="19">
                  <c:v>5.0806560071117376E-2</c:v>
                </c:pt>
                <c:pt idx="20">
                  <c:v>5.6141246394208408E-2</c:v>
                </c:pt>
                <c:pt idx="21">
                  <c:v>3.2460120569823225E-2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A-41F1-8A0B-F37E55B60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507984"/>
        <c:axId val="46518320"/>
      </c:barChart>
      <c:lineChart>
        <c:grouping val="standard"/>
        <c:varyColors val="0"/>
        <c:ser>
          <c:idx val="4"/>
          <c:order val="4"/>
          <c:tx>
            <c:strRef>
              <c:f>'GHG-PRS'!$A$18</c:f>
              <c:strCache>
                <c:ptCount val="1"/>
                <c:pt idx="0">
                  <c:v>Net Emissions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'GHG-PRS'!$D$18:$Y$18</c:f>
              <c:numCache>
                <c:formatCode>#,##0.0</c:formatCode>
                <c:ptCount val="22"/>
                <c:pt idx="0">
                  <c:v>2.5457860848798535</c:v>
                </c:pt>
                <c:pt idx="1">
                  <c:v>2.3548088151535884</c:v>
                </c:pt>
                <c:pt idx="2">
                  <c:v>1.4411949811582456</c:v>
                </c:pt>
                <c:pt idx="3">
                  <c:v>1.6109451666926449</c:v>
                </c:pt>
                <c:pt idx="4">
                  <c:v>1.6489691494960801</c:v>
                </c:pt>
                <c:pt idx="5">
                  <c:v>1.6310417068884084</c:v>
                </c:pt>
                <c:pt idx="6">
                  <c:v>1.5394026343293148</c:v>
                </c:pt>
                <c:pt idx="7">
                  <c:v>1.4480793930289357</c:v>
                </c:pt>
                <c:pt idx="8">
                  <c:v>1.3151990841875065</c:v>
                </c:pt>
                <c:pt idx="9">
                  <c:v>1.2181396919891636</c:v>
                </c:pt>
                <c:pt idx="10">
                  <c:v>1.4009290885545498</c:v>
                </c:pt>
                <c:pt idx="11">
                  <c:v>1.4191609168579729</c:v>
                </c:pt>
                <c:pt idx="12">
                  <c:v>1.42375632292763</c:v>
                </c:pt>
                <c:pt idx="13">
                  <c:v>1.428659377292913</c:v>
                </c:pt>
                <c:pt idx="14">
                  <c:v>1.4093366141528239</c:v>
                </c:pt>
                <c:pt idx="15">
                  <c:v>1.4908052965699963</c:v>
                </c:pt>
                <c:pt idx="16">
                  <c:v>1.5214676349490204</c:v>
                </c:pt>
                <c:pt idx="17">
                  <c:v>1.3392072855284405</c:v>
                </c:pt>
                <c:pt idx="18">
                  <c:v>1.0102596357881342</c:v>
                </c:pt>
                <c:pt idx="19">
                  <c:v>1.0987654319761031</c:v>
                </c:pt>
                <c:pt idx="20">
                  <c:v>1.1935163342862072</c:v>
                </c:pt>
                <c:pt idx="21">
                  <c:v>0.71084934431020019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9A-41F1-8A0B-F37E55B60A33}"/>
            </c:ext>
          </c:extLst>
        </c:ser>
        <c:ser>
          <c:idx val="5"/>
          <c:order val="5"/>
          <c:tx>
            <c:strRef>
              <c:f>'GHG-PRS'!$A$20</c:f>
              <c:strCache>
                <c:ptCount val="1"/>
                <c:pt idx="0">
                  <c:v>2021 Generated Emissions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'GHG-PRS'!$D$20:$Y$20</c:f>
              <c:numCache>
                <c:formatCode>General</c:formatCode>
                <c:ptCount val="22"/>
                <c:pt idx="0">
                  <c:v>2.8980000000000001</c:v>
                </c:pt>
                <c:pt idx="1">
                  <c:v>2.8980000000000001</c:v>
                </c:pt>
                <c:pt idx="2">
                  <c:v>2.8980000000000001</c:v>
                </c:pt>
                <c:pt idx="3">
                  <c:v>2.8980000000000001</c:v>
                </c:pt>
                <c:pt idx="4">
                  <c:v>2.8980000000000001</c:v>
                </c:pt>
                <c:pt idx="5">
                  <c:v>2.8980000000000001</c:v>
                </c:pt>
                <c:pt idx="6">
                  <c:v>2.8980000000000001</c:v>
                </c:pt>
                <c:pt idx="7">
                  <c:v>2.8980000000000001</c:v>
                </c:pt>
                <c:pt idx="8">
                  <c:v>2.8980000000000001</c:v>
                </c:pt>
                <c:pt idx="9">
                  <c:v>2.8980000000000001</c:v>
                </c:pt>
                <c:pt idx="10">
                  <c:v>2.8980000000000001</c:v>
                </c:pt>
                <c:pt idx="11">
                  <c:v>2.8980000000000001</c:v>
                </c:pt>
                <c:pt idx="12">
                  <c:v>2.8980000000000001</c:v>
                </c:pt>
                <c:pt idx="13">
                  <c:v>2.8980000000000001</c:v>
                </c:pt>
                <c:pt idx="14">
                  <c:v>2.8980000000000001</c:v>
                </c:pt>
                <c:pt idx="15">
                  <c:v>2.8980000000000001</c:v>
                </c:pt>
                <c:pt idx="16">
                  <c:v>2.8980000000000001</c:v>
                </c:pt>
                <c:pt idx="17">
                  <c:v>2.8980000000000001</c:v>
                </c:pt>
                <c:pt idx="18">
                  <c:v>2.8980000000000001</c:v>
                </c:pt>
                <c:pt idx="19">
                  <c:v>2.8980000000000001</c:v>
                </c:pt>
                <c:pt idx="20">
                  <c:v>2.8980000000000001</c:v>
                </c:pt>
                <c:pt idx="21">
                  <c:v>2.8980000000000001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9A-41F1-8A0B-F37E55B60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07984"/>
        <c:axId val="46518320"/>
      </c:lineChart>
      <c:catAx>
        <c:axId val="465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18320"/>
        <c:crosses val="autoZero"/>
        <c:auto val="1"/>
        <c:lblAlgn val="ctr"/>
        <c:lblOffset val="100"/>
        <c:noMultiLvlLbl val="0"/>
      </c:catAx>
      <c:valAx>
        <c:axId val="4651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Million</a:t>
                </a:r>
                <a:r>
                  <a:rPr lang="en-US" sz="1100" b="1" baseline="0"/>
                  <a:t> Metric Tons</a:t>
                </a:r>
                <a:endParaRPr lang="en-US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079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7707309443919328"/>
          <c:y val="0.17307633573797729"/>
          <c:w val="0.28133822040771844"/>
          <c:h val="0.272478636133185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'Cost &amp; Rates'!$C$2</c:f>
              <c:strCache>
                <c:ptCount val="1"/>
                <c:pt idx="0">
                  <c:v>WA 2030 Rate ($/kWh)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Rates'!$B$3:$B$19</c:f>
              <c:strCache>
                <c:ptCount val="17"/>
                <c:pt idx="0">
                  <c:v>4- No Resource Additions</c:v>
                </c:pt>
                <c:pt idx="1">
                  <c:v>3- Baseline Portfolio</c:v>
                </c:pt>
                <c:pt idx="2">
                  <c:v>2- Alternative Lowest Reasonable Cost Portfolio</c:v>
                </c:pt>
                <c:pt idx="3">
                  <c:v>5- No CETA/ No new NG</c:v>
                </c:pt>
                <c:pt idx="4">
                  <c:v>11- High Electric Vehicle Growth</c:v>
                </c:pt>
                <c:pt idx="5">
                  <c:v>10- High Economic Growth Loads</c:v>
                </c:pt>
                <c:pt idx="6">
                  <c:v>7- WRAP PRM No QCC Changes</c:v>
                </c:pt>
                <c:pt idx="7">
                  <c:v>8- VERs Assigned to Washington</c:v>
                </c:pt>
                <c:pt idx="8">
                  <c:v>1- Preferred Resource Strategy</c:v>
                </c:pt>
                <c:pt idx="9">
                  <c:v>16- Social Cost Included for Idaho</c:v>
                </c:pt>
                <c:pt idx="10">
                  <c:v>15- Clean Portfolio by 2045</c:v>
                </c:pt>
                <c:pt idx="11">
                  <c:v>6- WRAP PRM</c:v>
                </c:pt>
                <c:pt idx="12">
                  <c:v>9- Low Economic Growth Loads</c:v>
                </c:pt>
                <c:pt idx="13">
                  <c:v>13- WA Space/ Water Electrification w/NG Backup</c:v>
                </c:pt>
                <c:pt idx="14">
                  <c:v>12- WA Space/ Water Electrification</c:v>
                </c:pt>
                <c:pt idx="15">
                  <c:v>14- Combined Electrification</c:v>
                </c:pt>
                <c:pt idx="16">
                  <c:v>17- WA Maximum Customer Benefits</c:v>
                </c:pt>
              </c:strCache>
            </c:strRef>
          </c:cat>
          <c:val>
            <c:numRef>
              <c:f>'Cost &amp; Rates'!$C$3:$C$19</c:f>
              <c:numCache>
                <c:formatCode>_(* #,##0.000_);_(* \(#,##0.000\);_(* "-"??_);_(@_)</c:formatCode>
                <c:ptCount val="17"/>
                <c:pt idx="0">
                  <c:v>0.13267496331058853</c:v>
                </c:pt>
                <c:pt idx="1">
                  <c:v>0.13265834347180819</c:v>
                </c:pt>
                <c:pt idx="2">
                  <c:v>0.13203057852115693</c:v>
                </c:pt>
                <c:pt idx="3">
                  <c:v>0.13265834347180819</c:v>
                </c:pt>
                <c:pt idx="4">
                  <c:v>0.13265766227246034</c:v>
                </c:pt>
                <c:pt idx="5">
                  <c:v>0.13224329435035129</c:v>
                </c:pt>
                <c:pt idx="6">
                  <c:v>0.13277293699418885</c:v>
                </c:pt>
                <c:pt idx="7">
                  <c:v>0.13289050031506686</c:v>
                </c:pt>
                <c:pt idx="8">
                  <c:v>0.13267359510523058</c:v>
                </c:pt>
                <c:pt idx="9">
                  <c:v>0.13278462711138045</c:v>
                </c:pt>
                <c:pt idx="10">
                  <c:v>0.13277394522340563</c:v>
                </c:pt>
                <c:pt idx="11">
                  <c:v>0.13270745335852285</c:v>
                </c:pt>
                <c:pt idx="12">
                  <c:v>0.13402538367099676</c:v>
                </c:pt>
                <c:pt idx="13">
                  <c:v>0.13156771699963268</c:v>
                </c:pt>
                <c:pt idx="14">
                  <c:v>0.13094044938916483</c:v>
                </c:pt>
                <c:pt idx="15">
                  <c:v>0.13149048608405847</c:v>
                </c:pt>
                <c:pt idx="16">
                  <c:v>0.13357025828705027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6-428C-8F5E-F765F80F099D}"/>
            </c:ext>
          </c:extLst>
        </c:ser>
        <c:ser>
          <c:idx val="1"/>
          <c:order val="1"/>
          <c:tx>
            <c:strRef>
              <c:f>'Cost &amp; Rates'!$D$2</c:f>
              <c:strCache>
                <c:ptCount val="1"/>
                <c:pt idx="0">
                  <c:v>WA 2045 Rate ($/kWh)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Rates'!$B$3:$B$19</c:f>
              <c:strCache>
                <c:ptCount val="17"/>
                <c:pt idx="0">
                  <c:v>4- No Resource Additions</c:v>
                </c:pt>
                <c:pt idx="1">
                  <c:v>3- Baseline Portfolio</c:v>
                </c:pt>
                <c:pt idx="2">
                  <c:v>2- Alternative Lowest Reasonable Cost Portfolio</c:v>
                </c:pt>
                <c:pt idx="3">
                  <c:v>5- No CETA/ No new NG</c:v>
                </c:pt>
                <c:pt idx="4">
                  <c:v>11- High Electric Vehicle Growth</c:v>
                </c:pt>
                <c:pt idx="5">
                  <c:v>10- High Economic Growth Loads</c:v>
                </c:pt>
                <c:pt idx="6">
                  <c:v>7- WRAP PRM No QCC Changes</c:v>
                </c:pt>
                <c:pt idx="7">
                  <c:v>8- VERs Assigned to Washington</c:v>
                </c:pt>
                <c:pt idx="8">
                  <c:v>1- Preferred Resource Strategy</c:v>
                </c:pt>
                <c:pt idx="9">
                  <c:v>16- Social Cost Included for Idaho</c:v>
                </c:pt>
                <c:pt idx="10">
                  <c:v>15- Clean Portfolio by 2045</c:v>
                </c:pt>
                <c:pt idx="11">
                  <c:v>6- WRAP PRM</c:v>
                </c:pt>
                <c:pt idx="12">
                  <c:v>9- Low Economic Growth Loads</c:v>
                </c:pt>
                <c:pt idx="13">
                  <c:v>13- WA Space/ Water Electrification w/NG Backup</c:v>
                </c:pt>
                <c:pt idx="14">
                  <c:v>12- WA Space/ Water Electrification</c:v>
                </c:pt>
                <c:pt idx="15">
                  <c:v>14- Combined Electrification</c:v>
                </c:pt>
                <c:pt idx="16">
                  <c:v>17- WA Maximum Customer Benefits</c:v>
                </c:pt>
              </c:strCache>
            </c:strRef>
          </c:cat>
          <c:val>
            <c:numRef>
              <c:f>'Cost &amp; Rates'!$D$3:$D$19</c:f>
              <c:numCache>
                <c:formatCode>_(* #,##0.000_);_(* \(#,##0.000\);_(* "-"??_);_(@_)</c:formatCode>
                <c:ptCount val="17"/>
                <c:pt idx="0">
                  <c:v>0.1940355520856471</c:v>
                </c:pt>
                <c:pt idx="1">
                  <c:v>0.2046221874849706</c:v>
                </c:pt>
                <c:pt idx="2">
                  <c:v>0.2223633905095804</c:v>
                </c:pt>
                <c:pt idx="3">
                  <c:v>0.2228832831258708</c:v>
                </c:pt>
                <c:pt idx="4">
                  <c:v>0.22702652928590714</c:v>
                </c:pt>
                <c:pt idx="5">
                  <c:v>0.23317707226319012</c:v>
                </c:pt>
                <c:pt idx="6">
                  <c:v>0.23343185468350577</c:v>
                </c:pt>
                <c:pt idx="7">
                  <c:v>0.23354375234411018</c:v>
                </c:pt>
                <c:pt idx="8">
                  <c:v>0.23402456426830173</c:v>
                </c:pt>
                <c:pt idx="9">
                  <c:v>0.23536266277583834</c:v>
                </c:pt>
                <c:pt idx="10">
                  <c:v>0.24008834157082209</c:v>
                </c:pt>
                <c:pt idx="11">
                  <c:v>0.24197065133684836</c:v>
                </c:pt>
                <c:pt idx="12">
                  <c:v>0.24345501600713038</c:v>
                </c:pt>
                <c:pt idx="13">
                  <c:v>0.24357133085008276</c:v>
                </c:pt>
                <c:pt idx="14">
                  <c:v>0.25937757140777984</c:v>
                </c:pt>
                <c:pt idx="15">
                  <c:v>0.27260001890822932</c:v>
                </c:pt>
                <c:pt idx="16">
                  <c:v>0.30228617105748995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6-428C-8F5E-F765F80F0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877382191"/>
        <c:axId val="1877377199"/>
      </c:barChart>
      <c:catAx>
        <c:axId val="1877382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7377199"/>
        <c:crosses val="autoZero"/>
        <c:auto val="1"/>
        <c:lblAlgn val="ctr"/>
        <c:lblOffset val="100"/>
        <c:noMultiLvlLbl val="0"/>
      </c:catAx>
      <c:valAx>
        <c:axId val="1877377199"/>
        <c:scaling>
          <c:orientation val="minMax"/>
          <c:max val="0.4"/>
        </c:scaling>
        <c:delete val="0"/>
        <c:axPos val="b"/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738219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3966362361138522"/>
          <c:y val="0.94617525549112713"/>
          <c:w val="0.47622812715886459"/>
          <c:h val="4.10145315186365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'Cost &amp; Rates'!$C$21</c:f>
              <c:strCache>
                <c:ptCount val="1"/>
                <c:pt idx="0">
                  <c:v>ID 2030 Rate ($/kWh)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Rates'!$B$22:$B$38</c:f>
              <c:strCache>
                <c:ptCount val="17"/>
                <c:pt idx="0">
                  <c:v>4- No Resource Additions</c:v>
                </c:pt>
                <c:pt idx="1">
                  <c:v>10- High Economic Growth Loads</c:v>
                </c:pt>
                <c:pt idx="2">
                  <c:v>7- WRAP PRM No QCC Changes</c:v>
                </c:pt>
                <c:pt idx="3">
                  <c:v>2- Alternative Lowest Reasonable Cost Portfolio</c:v>
                </c:pt>
                <c:pt idx="4">
                  <c:v>17- WA Maximum Customer Benefits</c:v>
                </c:pt>
                <c:pt idx="5">
                  <c:v>8- VERs Assigned to Washington</c:v>
                </c:pt>
                <c:pt idx="6">
                  <c:v>3- Baseline Portfolio</c:v>
                </c:pt>
                <c:pt idx="7">
                  <c:v>1- Preferred Resource Strategy</c:v>
                </c:pt>
                <c:pt idx="8">
                  <c:v>6- WRAP PRM</c:v>
                </c:pt>
                <c:pt idx="9">
                  <c:v>11- High Electric Vehicle Growth</c:v>
                </c:pt>
                <c:pt idx="10">
                  <c:v>16- Social Cost Included for Idaho</c:v>
                </c:pt>
                <c:pt idx="11">
                  <c:v>5- No CETA/ No new NG</c:v>
                </c:pt>
                <c:pt idx="12">
                  <c:v>9- Low Economic Growth Loads</c:v>
                </c:pt>
                <c:pt idx="13">
                  <c:v>13- WA Space/ Water Electrification w/NG Backup</c:v>
                </c:pt>
                <c:pt idx="14">
                  <c:v>12- WA Space/ Water Electrification</c:v>
                </c:pt>
                <c:pt idx="15">
                  <c:v>14- Combined Electrification</c:v>
                </c:pt>
                <c:pt idx="16">
                  <c:v>15- Clean Portfolio by 2045</c:v>
                </c:pt>
              </c:strCache>
            </c:strRef>
          </c:cat>
          <c:val>
            <c:numRef>
              <c:f>'Cost &amp; Rates'!$C$22:$C$38</c:f>
              <c:numCache>
                <c:formatCode>_(* #,##0.0000_);_(* \(#,##0.0000\);_(* "-"??_);_(@_)</c:formatCode>
                <c:ptCount val="17"/>
                <c:pt idx="0">
                  <c:v>0.11852509684482135</c:v>
                </c:pt>
                <c:pt idx="1">
                  <c:v>0.11697764060504585</c:v>
                </c:pt>
                <c:pt idx="2">
                  <c:v>0.11861697974397351</c:v>
                </c:pt>
                <c:pt idx="3">
                  <c:v>0.11873474555602197</c:v>
                </c:pt>
                <c:pt idx="4">
                  <c:v>0.1185888059153347</c:v>
                </c:pt>
                <c:pt idx="5">
                  <c:v>0.12038747127080057</c:v>
                </c:pt>
                <c:pt idx="6">
                  <c:v>0.11859328115315164</c:v>
                </c:pt>
                <c:pt idx="7">
                  <c:v>0.1185973018302955</c:v>
                </c:pt>
                <c:pt idx="8">
                  <c:v>0.11860658273753902</c:v>
                </c:pt>
                <c:pt idx="9">
                  <c:v>0.11859869831656702</c:v>
                </c:pt>
                <c:pt idx="10">
                  <c:v>0.11838707972156524</c:v>
                </c:pt>
                <c:pt idx="11">
                  <c:v>0.11859328115315164</c:v>
                </c:pt>
                <c:pt idx="12">
                  <c:v>0.12033119799256345</c:v>
                </c:pt>
                <c:pt idx="13">
                  <c:v>0.11874030756882568</c:v>
                </c:pt>
                <c:pt idx="14">
                  <c:v>0.11864619311180785</c:v>
                </c:pt>
                <c:pt idx="15">
                  <c:v>0.11881697788569318</c:v>
                </c:pt>
                <c:pt idx="16">
                  <c:v>0.11899074422762175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28B-9B71-0E9E3F601E94}"/>
            </c:ext>
          </c:extLst>
        </c:ser>
        <c:ser>
          <c:idx val="1"/>
          <c:order val="1"/>
          <c:tx>
            <c:strRef>
              <c:f>'Cost &amp; Rates'!$D$21</c:f>
              <c:strCache>
                <c:ptCount val="1"/>
                <c:pt idx="0">
                  <c:v>ID 2045 Rate ($/kWh)</c:v>
                </c:pt>
              </c:strCache>
            </c:strRef>
          </c:tx>
          <c:spPr>
            <a:solidFill>
              <a:srgbClr val="F58021"/>
            </a:solidFill>
            <a:ln>
              <a:noFill/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Rates'!$B$22:$B$38</c:f>
              <c:strCache>
                <c:ptCount val="17"/>
                <c:pt idx="0">
                  <c:v>4- No Resource Additions</c:v>
                </c:pt>
                <c:pt idx="1">
                  <c:v>10- High Economic Growth Loads</c:v>
                </c:pt>
                <c:pt idx="2">
                  <c:v>7- WRAP PRM No QCC Changes</c:v>
                </c:pt>
                <c:pt idx="3">
                  <c:v>2- Alternative Lowest Reasonable Cost Portfolio</c:v>
                </c:pt>
                <c:pt idx="4">
                  <c:v>17- WA Maximum Customer Benefits</c:v>
                </c:pt>
                <c:pt idx="5">
                  <c:v>8- VERs Assigned to Washington</c:v>
                </c:pt>
                <c:pt idx="6">
                  <c:v>3- Baseline Portfolio</c:v>
                </c:pt>
                <c:pt idx="7">
                  <c:v>1- Preferred Resource Strategy</c:v>
                </c:pt>
                <c:pt idx="8">
                  <c:v>6- WRAP PRM</c:v>
                </c:pt>
                <c:pt idx="9">
                  <c:v>11- High Electric Vehicle Growth</c:v>
                </c:pt>
                <c:pt idx="10">
                  <c:v>16- Social Cost Included for Idaho</c:v>
                </c:pt>
                <c:pt idx="11">
                  <c:v>5- No CETA/ No new NG</c:v>
                </c:pt>
                <c:pt idx="12">
                  <c:v>9- Low Economic Growth Loads</c:v>
                </c:pt>
                <c:pt idx="13">
                  <c:v>13- WA Space/ Water Electrification w/NG Backup</c:v>
                </c:pt>
                <c:pt idx="14">
                  <c:v>12- WA Space/ Water Electrification</c:v>
                </c:pt>
                <c:pt idx="15">
                  <c:v>14- Combined Electrification</c:v>
                </c:pt>
                <c:pt idx="16">
                  <c:v>15- Clean Portfolio by 2045</c:v>
                </c:pt>
              </c:strCache>
            </c:strRef>
          </c:cat>
          <c:val>
            <c:numRef>
              <c:f>'Cost &amp; Rates'!$D$22:$D$38</c:f>
              <c:numCache>
                <c:formatCode>_(* #,##0.0000_);_(* \(#,##0.0000\);_(* "-"??_);_(@_)</c:formatCode>
                <c:ptCount val="17"/>
                <c:pt idx="0">
                  <c:v>0.16942603612961071</c:v>
                </c:pt>
                <c:pt idx="1">
                  <c:v>0.17558613906550938</c:v>
                </c:pt>
                <c:pt idx="2">
                  <c:v>0.17924416770975352</c:v>
                </c:pt>
                <c:pt idx="3">
                  <c:v>0.1806547710836616</c:v>
                </c:pt>
                <c:pt idx="4">
                  <c:v>0.18170689885797672</c:v>
                </c:pt>
                <c:pt idx="5">
                  <c:v>0.18374193116994875</c:v>
                </c:pt>
                <c:pt idx="6">
                  <c:v>0.18389149084065629</c:v>
                </c:pt>
                <c:pt idx="7">
                  <c:v>0.18460326731151203</c:v>
                </c:pt>
                <c:pt idx="8">
                  <c:v>0.18555078866115138</c:v>
                </c:pt>
                <c:pt idx="9">
                  <c:v>0.18560142987365294</c:v>
                </c:pt>
                <c:pt idx="10">
                  <c:v>0.18790292382846582</c:v>
                </c:pt>
                <c:pt idx="11">
                  <c:v>0.18809055905351307</c:v>
                </c:pt>
                <c:pt idx="12">
                  <c:v>0.19193893864633696</c:v>
                </c:pt>
                <c:pt idx="13">
                  <c:v>0.19404108934597813</c:v>
                </c:pt>
                <c:pt idx="14">
                  <c:v>0.19506363244461991</c:v>
                </c:pt>
                <c:pt idx="15">
                  <c:v>0.19535094624583896</c:v>
                </c:pt>
                <c:pt idx="16">
                  <c:v>0.25887415396330338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28B-9B71-0E9E3F60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877382191"/>
        <c:axId val="1877377199"/>
      </c:barChart>
      <c:catAx>
        <c:axId val="1877382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7377199"/>
        <c:crosses val="autoZero"/>
        <c:auto val="1"/>
        <c:lblAlgn val="ctr"/>
        <c:lblOffset val="100"/>
        <c:noMultiLvlLbl val="0"/>
      </c:catAx>
      <c:valAx>
        <c:axId val="1877377199"/>
        <c:scaling>
          <c:orientation val="minMax"/>
          <c:max val="0.4"/>
        </c:scaling>
        <c:delete val="0"/>
        <c:axPos val="b"/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738219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3966362361138522"/>
          <c:y val="0.94617525549112713"/>
          <c:w val="0.47622812715886459"/>
          <c:h val="3.7407273142955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59237500227897"/>
          <c:y val="3.1238896160075528E-2"/>
          <c:w val="0.56182312825949854"/>
          <c:h val="0.767328363285330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'Cost &amp; Rates'!$C$41</c:f>
              <c:strCache>
                <c:ptCount val="1"/>
                <c:pt idx="0">
                  <c:v>WA- PVRR ($ Mill)</c:v>
                </c:pt>
              </c:strCache>
            </c:strRef>
          </c:tx>
          <c:spPr>
            <a:solidFill>
              <a:srgbClr val="96D1F2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Rates'!$B$42:$B$58</c:f>
              <c:strCache>
                <c:ptCount val="17"/>
                <c:pt idx="0">
                  <c:v>4- No Resource Additions</c:v>
                </c:pt>
                <c:pt idx="1">
                  <c:v>9- Low Economic Growth Loads</c:v>
                </c:pt>
                <c:pt idx="2">
                  <c:v>3- Baseline Portfolio</c:v>
                </c:pt>
                <c:pt idx="3">
                  <c:v>7- WRAP PRM No QCC Changes</c:v>
                </c:pt>
                <c:pt idx="4">
                  <c:v>2- Alternative Lowest Reasonable Cost Portfolio</c:v>
                </c:pt>
                <c:pt idx="5">
                  <c:v>5- No CETA/ No new NG</c:v>
                </c:pt>
                <c:pt idx="6">
                  <c:v>6- WRAP PRM</c:v>
                </c:pt>
                <c:pt idx="7">
                  <c:v>1- Preferred Resource Strategy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'Cost &amp; Rates'!$C$42:$C$58</c:f>
              <c:numCache>
                <c:formatCode>_(* #,##0_);_(* \(#,##0\);_(* "-"??_);_(@_)</c:formatCode>
                <c:ptCount val="17"/>
                <c:pt idx="0">
                  <c:v>9965.8100132929158</c:v>
                </c:pt>
                <c:pt idx="1">
                  <c:v>10118.85011364489</c:v>
                </c:pt>
                <c:pt idx="2">
                  <c:v>10063.54613897866</c:v>
                </c:pt>
                <c:pt idx="3">
                  <c:v>10126.065807935458</c:v>
                </c:pt>
                <c:pt idx="4">
                  <c:v>10122.156772005914</c:v>
                </c:pt>
                <c:pt idx="5">
                  <c:v>10158.418299738747</c:v>
                </c:pt>
                <c:pt idx="6">
                  <c:v>10217.187521777265</c:v>
                </c:pt>
                <c:pt idx="7">
                  <c:v>10212.54177015306</c:v>
                </c:pt>
                <c:pt idx="8">
                  <c:v>10219.445729866309</c:v>
                </c:pt>
                <c:pt idx="9">
                  <c:v>10205.100128580674</c:v>
                </c:pt>
                <c:pt idx="10">
                  <c:v>10227.159624866797</c:v>
                </c:pt>
                <c:pt idx="11">
                  <c:v>10279.441525823078</c:v>
                </c:pt>
                <c:pt idx="12">
                  <c:v>10541.422846332467</c:v>
                </c:pt>
                <c:pt idx="13">
                  <c:v>10593.672088911744</c:v>
                </c:pt>
                <c:pt idx="14">
                  <c:v>10786.817552719411</c:v>
                </c:pt>
                <c:pt idx="15">
                  <c:v>11283.172968469011</c:v>
                </c:pt>
                <c:pt idx="16">
                  <c:v>11654.610545718137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7-4752-AEDB-6DFB5574A5CA}"/>
            </c:ext>
          </c:extLst>
        </c:ser>
        <c:ser>
          <c:idx val="1"/>
          <c:order val="1"/>
          <c:tx>
            <c:strRef>
              <c:f>'Cost &amp; Rates'!$D$41</c:f>
              <c:strCache>
                <c:ptCount val="1"/>
                <c:pt idx="0">
                  <c:v>ID-PVRR ($ Mill)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Rates'!$B$42:$B$58</c:f>
              <c:strCache>
                <c:ptCount val="17"/>
                <c:pt idx="0">
                  <c:v>4- No Resource Additions</c:v>
                </c:pt>
                <c:pt idx="1">
                  <c:v>9- Low Economic Growth Loads</c:v>
                </c:pt>
                <c:pt idx="2">
                  <c:v>3- Baseline Portfolio</c:v>
                </c:pt>
                <c:pt idx="3">
                  <c:v>7- WRAP PRM No QCC Changes</c:v>
                </c:pt>
                <c:pt idx="4">
                  <c:v>2- Alternative Lowest Reasonable Cost Portfolio</c:v>
                </c:pt>
                <c:pt idx="5">
                  <c:v>5- No CETA/ No new NG</c:v>
                </c:pt>
                <c:pt idx="6">
                  <c:v>6- WRAP PRM</c:v>
                </c:pt>
                <c:pt idx="7">
                  <c:v>1- Preferred Resource Strategy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'Cost &amp; Rates'!$D$42:$D$58</c:f>
              <c:numCache>
                <c:formatCode>_(* #,##0_);_(* \(#,##0\);_(* "-"??_);_(@_)</c:formatCode>
                <c:ptCount val="17"/>
                <c:pt idx="0">
                  <c:v>4713.2019392591546</c:v>
                </c:pt>
                <c:pt idx="1">
                  <c:v>4697.0626513287243</c:v>
                </c:pt>
                <c:pt idx="2">
                  <c:v>4788.7513375827311</c:v>
                </c:pt>
                <c:pt idx="3">
                  <c:v>4763.4132972472171</c:v>
                </c:pt>
                <c:pt idx="4">
                  <c:v>4777.897616031637</c:v>
                </c:pt>
                <c:pt idx="5">
                  <c:v>4821.2631342930626</c:v>
                </c:pt>
                <c:pt idx="6">
                  <c:v>4777.9092324759658</c:v>
                </c:pt>
                <c:pt idx="7">
                  <c:v>4783.1210136077843</c:v>
                </c:pt>
                <c:pt idx="8">
                  <c:v>4801.1606536756362</c:v>
                </c:pt>
                <c:pt idx="9">
                  <c:v>4819.2489427298742</c:v>
                </c:pt>
                <c:pt idx="10">
                  <c:v>4902.4247782809198</c:v>
                </c:pt>
                <c:pt idx="11">
                  <c:v>4868.2070862180908</c:v>
                </c:pt>
                <c:pt idx="12">
                  <c:v>4812.1486789307301</c:v>
                </c:pt>
                <c:pt idx="13">
                  <c:v>4769.2216303203886</c:v>
                </c:pt>
                <c:pt idx="14">
                  <c:v>4799.5925930641852</c:v>
                </c:pt>
                <c:pt idx="15">
                  <c:v>4842.5936389809376</c:v>
                </c:pt>
                <c:pt idx="16">
                  <c:v>4878.5961933829267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7-4752-AEDB-6DFB5574A5CA}"/>
            </c:ext>
          </c:extLst>
        </c:ser>
        <c:ser>
          <c:idx val="2"/>
          <c:order val="2"/>
          <c:tx>
            <c:strRef>
              <c:f>'Cost &amp; Rates'!$E$41</c:f>
              <c:strCache>
                <c:ptCount val="1"/>
                <c:pt idx="0">
                  <c:v>TOTAL PVRR ($ Mill)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'Cost &amp; Rates'!$B$42:$B$58</c:f>
              <c:strCache>
                <c:ptCount val="17"/>
                <c:pt idx="0">
                  <c:v>4- No Resource Additions</c:v>
                </c:pt>
                <c:pt idx="1">
                  <c:v>9- Low Economic Growth Loads</c:v>
                </c:pt>
                <c:pt idx="2">
                  <c:v>3- Baseline Portfolio</c:v>
                </c:pt>
                <c:pt idx="3">
                  <c:v>7- WRAP PRM No QCC Changes</c:v>
                </c:pt>
                <c:pt idx="4">
                  <c:v>2- Alternative Lowest Reasonable Cost Portfolio</c:v>
                </c:pt>
                <c:pt idx="5">
                  <c:v>5- No CETA/ No new NG</c:v>
                </c:pt>
                <c:pt idx="6">
                  <c:v>6- WRAP PRM</c:v>
                </c:pt>
                <c:pt idx="7">
                  <c:v>1- Preferred Resource Strategy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'Cost &amp; Rates'!$E$42:$E$58</c:f>
              <c:numCache>
                <c:formatCode>_(* #,##0_);_(* \(#,##0\);_(* "-"??_);_(@_)</c:formatCode>
                <c:ptCount val="17"/>
                <c:pt idx="0">
                  <c:v>14679.011952552071</c:v>
                </c:pt>
                <c:pt idx="1">
                  <c:v>14815.912764973615</c:v>
                </c:pt>
                <c:pt idx="2">
                  <c:v>14852.297476561391</c:v>
                </c:pt>
                <c:pt idx="3">
                  <c:v>14889.479105182676</c:v>
                </c:pt>
                <c:pt idx="4">
                  <c:v>14900.054388037552</c:v>
                </c:pt>
                <c:pt idx="5">
                  <c:v>14979.681434031809</c:v>
                </c:pt>
                <c:pt idx="6">
                  <c:v>14995.096754253231</c:v>
                </c:pt>
                <c:pt idx="7">
                  <c:v>14995.662783760845</c:v>
                </c:pt>
                <c:pt idx="8">
                  <c:v>15020.606383541945</c:v>
                </c:pt>
                <c:pt idx="9">
                  <c:v>15024.349071310549</c:v>
                </c:pt>
                <c:pt idx="10">
                  <c:v>15129.584403147717</c:v>
                </c:pt>
                <c:pt idx="11">
                  <c:v>15147.648612041168</c:v>
                </c:pt>
                <c:pt idx="12">
                  <c:v>15353.571525263196</c:v>
                </c:pt>
                <c:pt idx="13">
                  <c:v>15362.893719232132</c:v>
                </c:pt>
                <c:pt idx="14">
                  <c:v>15586.410145783597</c:v>
                </c:pt>
                <c:pt idx="15">
                  <c:v>16125.766607449948</c:v>
                </c:pt>
                <c:pt idx="16">
                  <c:v>16533.206739101064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7-4752-AEDB-6DFB5574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317529999"/>
        <c:axId val="1317532911"/>
      </c:barChart>
      <c:catAx>
        <c:axId val="1317529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7532911"/>
        <c:crosses val="autoZero"/>
        <c:auto val="1"/>
        <c:lblAlgn val="ctr"/>
        <c:lblOffset val="100"/>
        <c:noMultiLvlLbl val="0"/>
      </c:catAx>
      <c:valAx>
        <c:axId val="1317532911"/>
        <c:scaling>
          <c:orientation val="minMax"/>
          <c:max val="20000"/>
        </c:scaling>
        <c:delete val="0"/>
        <c:axPos val="b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752999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459626313972116"/>
          <c:y val="0.91554430098667083"/>
          <c:w val="0.55403740845474825"/>
          <c:h val="3.97867735823633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'GHG Emissions'!$F$3</c:f>
              <c:strCache>
                <c:ptCount val="1"/>
                <c:pt idx="0">
                  <c:v>Generation Emissions Change (MMT)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'GHG Emissions'!$B$4:$B$20</c:f>
              <c:strCache>
                <c:ptCount val="17"/>
                <c:pt idx="0">
                  <c:v>3- Baseline Portfolio</c:v>
                </c:pt>
                <c:pt idx="1">
                  <c:v>2- Alternative Lowest Reasonable Cost Portfolio</c:v>
                </c:pt>
                <c:pt idx="2">
                  <c:v>10- High Economic Growth Loads</c:v>
                </c:pt>
                <c:pt idx="3">
                  <c:v>8- VERs Assigned to Washington</c:v>
                </c:pt>
                <c:pt idx="4">
                  <c:v>6- WRAP PRM</c:v>
                </c:pt>
                <c:pt idx="5">
                  <c:v>1- Preferred Resource Strategy</c:v>
                </c:pt>
                <c:pt idx="6">
                  <c:v>11- High Electric Vehicle Growth</c:v>
                </c:pt>
                <c:pt idx="7">
                  <c:v>7- WRAP PRM No QCC Changes</c:v>
                </c:pt>
                <c:pt idx="8">
                  <c:v>14- Combined Electrification</c:v>
                </c:pt>
                <c:pt idx="9">
                  <c:v>17- WA Maximum Customer Benefits</c:v>
                </c:pt>
                <c:pt idx="10">
                  <c:v>13- WA Space/ Water Electrification w/NG Backup</c:v>
                </c:pt>
                <c:pt idx="11">
                  <c:v>12- WA Space/ Water Electrification</c:v>
                </c:pt>
                <c:pt idx="12">
                  <c:v>9- Low Economic Growth Loads</c:v>
                </c:pt>
                <c:pt idx="13">
                  <c:v>4- No Resource Additions</c:v>
                </c:pt>
                <c:pt idx="14">
                  <c:v>16- Social Cost Included for Idaho</c:v>
                </c:pt>
                <c:pt idx="15">
                  <c:v>5- No CETA/ No new NG</c:v>
                </c:pt>
                <c:pt idx="16">
                  <c:v>15- Clean Portfolio by 2045</c:v>
                </c:pt>
              </c:strCache>
            </c:strRef>
          </c:cat>
          <c:val>
            <c:numRef>
              <c:f>'GHG Emissions'!$F$4:$F$20</c:f>
              <c:numCache>
                <c:formatCode>_(* #,##0.00_);_(* \(#,##0.00\);_(* "-"??_);_(@_)</c:formatCode>
                <c:ptCount val="17"/>
                <c:pt idx="0">
                  <c:v>1.6978125764578726</c:v>
                </c:pt>
                <c:pt idx="1">
                  <c:v>2.1020767299892755</c:v>
                </c:pt>
                <c:pt idx="2">
                  <c:v>2.3367874227093717</c:v>
                </c:pt>
                <c:pt idx="3">
                  <c:v>2.3872633746343208</c:v>
                </c:pt>
                <c:pt idx="4">
                  <c:v>2.3906174984697759</c:v>
                </c:pt>
                <c:pt idx="5">
                  <c:v>2.4066531581690107</c:v>
                </c:pt>
                <c:pt idx="6">
                  <c:v>2.4101573259368831</c:v>
                </c:pt>
                <c:pt idx="7">
                  <c:v>2.4234305076035265</c:v>
                </c:pt>
                <c:pt idx="8">
                  <c:v>2.4248575263737431</c:v>
                </c:pt>
                <c:pt idx="9">
                  <c:v>2.4340918188280427</c:v>
                </c:pt>
                <c:pt idx="10">
                  <c:v>2.4403754442819183</c:v>
                </c:pt>
                <c:pt idx="11">
                  <c:v>2.4462731006389635</c:v>
                </c:pt>
                <c:pt idx="12">
                  <c:v>2.4994683475845378</c:v>
                </c:pt>
                <c:pt idx="13">
                  <c:v>2.5181054298809276</c:v>
                </c:pt>
                <c:pt idx="14">
                  <c:v>2.5278942154591215</c:v>
                </c:pt>
                <c:pt idx="15">
                  <c:v>2.8073491933959276</c:v>
                </c:pt>
                <c:pt idx="16">
                  <c:v>2.9672417086309277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3-4E94-A202-4C25B32276D5}"/>
            </c:ext>
          </c:extLst>
        </c:ser>
        <c:ser>
          <c:idx val="0"/>
          <c:order val="1"/>
          <c:tx>
            <c:strRef>
              <c:f>'GHG Emissions'!$G$3</c:f>
              <c:strCache>
                <c:ptCount val="1"/>
                <c:pt idx="0">
                  <c:v>Net Emission Change (MMT)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'GHG Emissions'!$G$4:$G$20</c:f>
              <c:numCache>
                <c:formatCode>_(* #,##0.00_);_(* \(#,##0.00\);_(* "-"??_);_(@_)</c:formatCode>
                <c:ptCount val="17"/>
                <c:pt idx="0">
                  <c:v>0.28121829113989616</c:v>
                </c:pt>
                <c:pt idx="1">
                  <c:v>0.89093255677788719</c:v>
                </c:pt>
                <c:pt idx="2">
                  <c:v>1.6428344254164609</c:v>
                </c:pt>
                <c:pt idx="3">
                  <c:v>1.7583616761386573</c:v>
                </c:pt>
                <c:pt idx="4">
                  <c:v>1.4950192207002053</c:v>
                </c:pt>
                <c:pt idx="5">
                  <c:v>1.7748277456160868</c:v>
                </c:pt>
                <c:pt idx="6">
                  <c:v>1.5437001312721437</c:v>
                </c:pt>
                <c:pt idx="7">
                  <c:v>1.856894721940034</c:v>
                </c:pt>
                <c:pt idx="8">
                  <c:v>1.1333031583887372</c:v>
                </c:pt>
                <c:pt idx="9">
                  <c:v>1.4834001910420826</c:v>
                </c:pt>
                <c:pt idx="10">
                  <c:v>1.6573155918992997</c:v>
                </c:pt>
                <c:pt idx="11">
                  <c:v>1.3278705864128399</c:v>
                </c:pt>
                <c:pt idx="12">
                  <c:v>1.7103163829838632</c:v>
                </c:pt>
                <c:pt idx="13">
                  <c:v>1.8862800173280041</c:v>
                </c:pt>
                <c:pt idx="14">
                  <c:v>1.9122920555998344</c:v>
                </c:pt>
                <c:pt idx="15">
                  <c:v>-0.78609708721070648</c:v>
                </c:pt>
                <c:pt idx="16">
                  <c:v>2.5358139107673718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5-4652-B71A-03F969A54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17543727"/>
        <c:axId val="1317548303"/>
      </c:barChart>
      <c:catAx>
        <c:axId val="1317543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7548303"/>
        <c:crosses val="autoZero"/>
        <c:auto val="1"/>
        <c:lblAlgn val="ctr"/>
        <c:lblOffset val="100"/>
        <c:noMultiLvlLbl val="0"/>
      </c:catAx>
      <c:valAx>
        <c:axId val="1317548303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754372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949727149320384"/>
          <c:y val="0.94441765442322745"/>
          <c:w val="0.40502728506796148"/>
          <c:h val="5.5582271426954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7487015719983"/>
          <c:y val="3.292180682039917E-2"/>
          <c:w val="0.85118983051477815"/>
          <c:h val="0.82881178907043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'GHG Emissions'!$B$25</c:f>
              <c:strCache>
                <c:ptCount val="1"/>
                <c:pt idx="0">
                  <c:v>2- Alternative Lowest Reasonable Cost Portfolio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9040585831375128E-2"/>
                  <c:y val="6.285072211167103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Emissions'!$C$25</c:f>
              <c:numCache>
                <c:formatCode>General</c:formatCode>
                <c:ptCount val="1"/>
                <c:pt idx="0">
                  <c:v>0.16916408671563943</c:v>
                </c:pt>
              </c:numCache>
            </c:numRef>
          </c:xVal>
          <c:yVal>
            <c:numRef>
              <c:f>'GHG Emissions'!$D$25</c:f>
              <c:numCache>
                <c:formatCode>#,##0</c:formatCode>
                <c:ptCount val="1"/>
                <c:pt idx="0">
                  <c:v>-95.608395723293143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CE-43AB-B59B-EBCF33CAF618}"/>
            </c:ext>
          </c:extLst>
        </c:ser>
        <c:ser>
          <c:idx val="1"/>
          <c:order val="1"/>
          <c:tx>
            <c:strRef>
              <c:f>'GHG Emissions'!$B$26</c:f>
              <c:strCache>
                <c:ptCount val="1"/>
                <c:pt idx="0">
                  <c:v>3- Baseline Portfolio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92371026537578E-2"/>
                  <c:y val="0.1017583119903247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Emissions'!$C$26</c:f>
              <c:numCache>
                <c:formatCode>General</c:formatCode>
                <c:ptCount val="1"/>
                <c:pt idx="0">
                  <c:v>2.757430628033994</c:v>
                </c:pt>
              </c:numCache>
            </c:numRef>
          </c:xVal>
          <c:yVal>
            <c:numRef>
              <c:f>'GHG Emissions'!$D$26</c:f>
              <c:numCache>
                <c:formatCode>#,##0</c:formatCode>
                <c:ptCount val="1"/>
                <c:pt idx="0">
                  <c:v>-143.36530719945404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CE-43AB-B59B-EBCF33CAF618}"/>
            </c:ext>
          </c:extLst>
        </c:ser>
        <c:ser>
          <c:idx val="2"/>
          <c:order val="2"/>
          <c:tx>
            <c:strRef>
              <c:f>'GHG Emissions'!$B$27</c:f>
              <c:strCache>
                <c:ptCount val="1"/>
                <c:pt idx="0">
                  <c:v>4- No Resource Additions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988928882902528"/>
                  <c:y val="0.10774409504857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Emissions'!$C$27</c:f>
              <c:numCache>
                <c:formatCode>General</c:formatCode>
                <c:ptCount val="1"/>
                <c:pt idx="0">
                  <c:v>-1.9560683017093261</c:v>
                </c:pt>
              </c:numCache>
            </c:numRef>
          </c:xVal>
          <c:yVal>
            <c:numRef>
              <c:f>'GHG Emissions'!$D$27</c:f>
              <c:numCache>
                <c:formatCode>#,##0</c:formatCode>
                <c:ptCount val="1"/>
                <c:pt idx="0">
                  <c:v>-316.65083120877352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CE-43AB-B59B-EBCF33CAF618}"/>
            </c:ext>
          </c:extLst>
        </c:ser>
        <c:ser>
          <c:idx val="3"/>
          <c:order val="3"/>
          <c:tx>
            <c:strRef>
              <c:f>'GHG Emissions'!$B$28</c:f>
              <c:strCache>
                <c:ptCount val="1"/>
                <c:pt idx="0">
                  <c:v>5- No CETA/ No new 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7712175749412539E-2"/>
                  <c:y val="-0.1346801188107239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Emissions'!$C$28</c:f>
              <c:numCache>
                <c:formatCode>General</c:formatCode>
                <c:ptCount val="1"/>
                <c:pt idx="0">
                  <c:v>-2.2453120652243257</c:v>
                </c:pt>
              </c:numCache>
            </c:numRef>
          </c:xVal>
          <c:yVal>
            <c:numRef>
              <c:f>'GHG Emissions'!$D$28</c:f>
              <c:numCache>
                <c:formatCode>#,##0</c:formatCode>
                <c:ptCount val="1"/>
                <c:pt idx="0">
                  <c:v>-15.981349729036083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CE-43AB-B59B-EBCF33CAF618}"/>
            </c:ext>
          </c:extLst>
        </c:ser>
        <c:ser>
          <c:idx val="4"/>
          <c:order val="4"/>
          <c:tx>
            <c:strRef>
              <c:f>'GHG Emissions'!$B$29</c:f>
              <c:strCache>
                <c:ptCount val="1"/>
                <c:pt idx="0">
                  <c:v>6- WRAP PRM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25400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8400976385625283E-2"/>
                  <c:y val="6.58436136407983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Emissions'!$C$29</c:f>
              <c:numCache>
                <c:formatCode>General</c:formatCode>
                <c:ptCount val="1"/>
                <c:pt idx="0">
                  <c:v>-0.13736911396389928</c:v>
                </c:pt>
              </c:numCache>
            </c:numRef>
          </c:xVal>
          <c:yVal>
            <c:numRef>
              <c:f>'GHG Emissions'!$D$29</c:f>
              <c:numCache>
                <c:formatCode>#,##0</c:formatCode>
                <c:ptCount val="1"/>
                <c:pt idx="0">
                  <c:v>-0.56602950761407556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CE-43AB-B59B-EBCF33CAF618}"/>
            </c:ext>
          </c:extLst>
        </c:ser>
        <c:ser>
          <c:idx val="5"/>
          <c:order val="5"/>
          <c:tx>
            <c:strRef>
              <c:f>'GHG Emissions'!$B$30</c:f>
              <c:strCache>
                <c:ptCount val="1"/>
                <c:pt idx="0">
                  <c:v>7- WRAP PRM No QCC Changes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2540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8880683469937656E-2"/>
                  <c:y val="0.1945379493932678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Emissions'!$C$30</c:f>
              <c:numCache>
                <c:formatCode>General</c:formatCode>
                <c:ptCount val="1"/>
                <c:pt idx="0">
                  <c:v>-0.92165809690729716</c:v>
                </c:pt>
              </c:numCache>
            </c:numRef>
          </c:xVal>
          <c:yVal>
            <c:numRef>
              <c:f>'GHG Emissions'!$D$30</c:f>
              <c:numCache>
                <c:formatCode>#,##0</c:formatCode>
                <c:ptCount val="1"/>
                <c:pt idx="0">
                  <c:v>-106.18367857816884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CE-43AB-B59B-EBCF33CAF618}"/>
            </c:ext>
          </c:extLst>
        </c:ser>
        <c:ser>
          <c:idx val="6"/>
          <c:order val="6"/>
          <c:tx>
            <c:strRef>
              <c:f>'GHG Emissions'!$B$31</c:f>
              <c:strCache>
                <c:ptCount val="1"/>
                <c:pt idx="0">
                  <c:v>8- VERs Assigned to Washington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4366542552301281"/>
                  <c:y val="-3.591469834952636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Emissions'!$C$31</c:f>
              <c:numCache>
                <c:formatCode>General</c:formatCode>
                <c:ptCount val="1"/>
                <c:pt idx="0">
                  <c:v>0.67150467505038591</c:v>
                </c:pt>
              </c:numCache>
            </c:numRef>
          </c:xVal>
          <c:yVal>
            <c:numRef>
              <c:f>'GHG Emissions'!$D$31</c:f>
              <c:numCache>
                <c:formatCode>#,##0</c:formatCode>
                <c:ptCount val="1"/>
                <c:pt idx="0">
                  <c:v>28.686287549704502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CE-43AB-B59B-EBCF33CAF618}"/>
            </c:ext>
          </c:extLst>
        </c:ser>
        <c:ser>
          <c:idx val="7"/>
          <c:order val="7"/>
          <c:tx>
            <c:strRef>
              <c:f>'GHG Emissions'!$B$32</c:f>
              <c:strCache>
                <c:ptCount val="1"/>
                <c:pt idx="0">
                  <c:v>9- Low Economic Growth Loads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3185730835673778"/>
                  <c:y val="9.277963740294312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Emissions'!$C$32</c:f>
              <c:numCache>
                <c:formatCode>General</c:formatCode>
                <c:ptCount val="1"/>
                <c:pt idx="0">
                  <c:v>-1.067325959108878</c:v>
                </c:pt>
              </c:numCache>
            </c:numRef>
          </c:xVal>
          <c:yVal>
            <c:numRef>
              <c:f>'GHG Emissions'!$D$32</c:f>
              <c:numCache>
                <c:formatCode>#,##0</c:formatCode>
                <c:ptCount val="1"/>
                <c:pt idx="0">
                  <c:v>-179.75001878723015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CE-43AB-B59B-EBCF33CAF618}"/>
            </c:ext>
          </c:extLst>
        </c:ser>
        <c:ser>
          <c:idx val="8"/>
          <c:order val="8"/>
          <c:tx>
            <c:strRef>
              <c:f>'GHG Emissions'!$B$33</c:f>
              <c:strCache>
                <c:ptCount val="1"/>
                <c:pt idx="0">
                  <c:v>10- High Economic Growth Loads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968019527712497E-2"/>
                  <c:y val="-5.087915599516246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Emissions'!$C$33</c:f>
              <c:numCache>
                <c:formatCode>General</c:formatCode>
                <c:ptCount val="1"/>
                <c:pt idx="0">
                  <c:v>0.45445284274177666</c:v>
                </c:pt>
              </c:numCache>
            </c:numRef>
          </c:xVal>
          <c:yVal>
            <c:numRef>
              <c:f>'GHG Emissions'!$D$33</c:f>
              <c:numCache>
                <c:formatCode>#,##0</c:formatCode>
                <c:ptCount val="1"/>
                <c:pt idx="0">
                  <c:v>151.9858282803234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7CE-43AB-B59B-EBCF33CAF618}"/>
            </c:ext>
          </c:extLst>
        </c:ser>
        <c:ser>
          <c:idx val="9"/>
          <c:order val="9"/>
          <c:tx>
            <c:strRef>
              <c:f>'GHG Emissions'!$B$34</c:f>
              <c:strCache>
                <c:ptCount val="1"/>
                <c:pt idx="0">
                  <c:v>11- High Electric Vehicle 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8400976385624485E-3"/>
                  <c:y val="-0.1017583119903247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Emissions'!$C$34</c:f>
              <c:numCache>
                <c:formatCode>General</c:formatCode>
                <c:ptCount val="1"/>
                <c:pt idx="0">
                  <c:v>8.6914199120652569E-2</c:v>
                </c:pt>
              </c:numCache>
            </c:numRef>
          </c:xVal>
          <c:yVal>
            <c:numRef>
              <c:f>'GHG Emissions'!$D$34</c:f>
              <c:numCache>
                <c:formatCode>#,##0</c:formatCode>
                <c:ptCount val="1"/>
                <c:pt idx="0">
                  <c:v>357.9087415023514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7CE-43AB-B59B-EBCF33CAF618}"/>
            </c:ext>
          </c:extLst>
        </c:ser>
        <c:ser>
          <c:idx val="10"/>
          <c:order val="10"/>
          <c:tx>
            <c:strRef>
              <c:f>'GHG Emissions'!$B$36</c:f>
              <c:strCache>
                <c:ptCount val="1"/>
                <c:pt idx="0">
                  <c:v>13- WA Space/ Water Electrification w/NG Backup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6728165985556287"/>
                  <c:y val="-9.577252893207031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Emissions'!$C$36</c:f>
              <c:numCache>
                <c:formatCode>General</c:formatCode>
                <c:ptCount val="1"/>
                <c:pt idx="0">
                  <c:v>-0.33254840048740419</c:v>
                </c:pt>
              </c:numCache>
            </c:numRef>
          </c:xVal>
          <c:yVal>
            <c:numRef>
              <c:f>'GHG Emissions'!$D$36</c:f>
              <c:numCache>
                <c:formatCode>#,##0</c:formatCode>
                <c:ptCount val="1"/>
                <c:pt idx="0">
                  <c:v>590.74736202275199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7CE-43AB-B59B-EBCF33CAF618}"/>
            </c:ext>
          </c:extLst>
        </c:ser>
        <c:ser>
          <c:idx val="11"/>
          <c:order val="11"/>
          <c:tx>
            <c:strRef>
              <c:f>'GHG Emissions'!$B$37</c:f>
              <c:strCache>
                <c:ptCount val="1"/>
                <c:pt idx="0">
                  <c:v>14- Combined Electrification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Emissions'!$C$37</c:f>
              <c:numCache>
                <c:formatCode>General</c:formatCode>
                <c:ptCount val="1"/>
                <c:pt idx="0">
                  <c:v>0.2343539349355872</c:v>
                </c:pt>
              </c:numCache>
            </c:numRef>
          </c:xVal>
          <c:yVal>
            <c:numRef>
              <c:f>'GHG Emissions'!$D$37</c:f>
              <c:numCache>
                <c:formatCode>#,##0</c:formatCode>
                <c:ptCount val="1"/>
                <c:pt idx="0">
                  <c:v>1537.5439553402193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7CE-43AB-B59B-EBCF33CAF618}"/>
            </c:ext>
          </c:extLst>
        </c:ser>
        <c:ser>
          <c:idx val="12"/>
          <c:order val="12"/>
          <c:tx>
            <c:strRef>
              <c:f>'GHG Emissions'!$B$38</c:f>
              <c:strCache>
                <c:ptCount val="1"/>
                <c:pt idx="0">
                  <c:v>15- Clean Portfolio by 2045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2816722525362657E-2"/>
                  <c:y val="-0.1616161425728686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Emissions'!$C$38</c:f>
              <c:numCache>
                <c:formatCode>General</c:formatCode>
                <c:ptCount val="1"/>
                <c:pt idx="0">
                  <c:v>-2.4052045804593263</c:v>
                </c:pt>
              </c:numCache>
            </c:numRef>
          </c:xVal>
          <c:yVal>
            <c:numRef>
              <c:f>'GHG Emissions'!$D$38</c:f>
              <c:numCache>
                <c:formatCode>#,##0</c:formatCode>
                <c:ptCount val="1"/>
                <c:pt idx="0">
                  <c:v>133.92161938687241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7CE-43AB-B59B-EBCF33CAF618}"/>
            </c:ext>
          </c:extLst>
        </c:ser>
        <c:ser>
          <c:idx val="13"/>
          <c:order val="13"/>
          <c:tx>
            <c:strRef>
              <c:f>'GHG Emissions'!$B$39</c:f>
              <c:strCache>
                <c:ptCount val="1"/>
                <c:pt idx="0">
                  <c:v>16- Social Cost Included for Idaho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424351498825113E-2"/>
                  <c:y val="-5.08791559951624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CE-43AB-B59B-EBCF33CAF6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Emissions'!$C$39</c:f>
              <c:numCache>
                <c:formatCode>General</c:formatCode>
                <c:ptCount val="1"/>
                <c:pt idx="0">
                  <c:v>-1.5234675919208875</c:v>
                </c:pt>
              </c:numCache>
            </c:numRef>
          </c:xVal>
          <c:yVal>
            <c:numRef>
              <c:f>'GHG Emissions'!$D$39</c:f>
              <c:numCache>
                <c:formatCode>#,##0</c:formatCode>
                <c:ptCount val="1"/>
                <c:pt idx="0">
                  <c:v>24.943599781099692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7CE-43AB-B59B-EBCF33CAF618}"/>
            </c:ext>
          </c:extLst>
        </c:ser>
        <c:ser>
          <c:idx val="14"/>
          <c:order val="14"/>
          <c:tx>
            <c:strRef>
              <c:f>'GHG Emissions'!$B$40</c:f>
              <c:strCache>
                <c:ptCount val="1"/>
                <c:pt idx="0">
                  <c:v>17- WA Maximum Customer Benefits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790897770218379"/>
                  <c:y val="-7.182939669905273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FE-470E-BD71-FD06E2E09E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'GHG Emissions'!$C$40</c:f>
              <c:numCache>
                <c:formatCode>General</c:formatCode>
                <c:ptCount val="1"/>
                <c:pt idx="0">
                  <c:v>0.23318955071066227</c:v>
                </c:pt>
              </c:numCache>
            </c:numRef>
          </c:xVal>
          <c:yVal>
            <c:numRef>
              <c:f>'GHG Emissions'!$D$40</c:f>
              <c:numCache>
                <c:formatCode>#,##0</c:formatCode>
                <c:ptCount val="1"/>
                <c:pt idx="0">
                  <c:v>367.23093547128701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FE-470E-BD71-FD06E2E09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467791"/>
        <c:axId val="1045479439"/>
      </c:scatterChart>
      <c:valAx>
        <c:axId val="1045467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Change in  22yr Total Greenhouse Gas Emissions (MMT)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5479439"/>
        <c:crosses val="autoZero"/>
        <c:crossBetween val="midCat"/>
      </c:valAx>
      <c:valAx>
        <c:axId val="1045479439"/>
        <c:scaling>
          <c:orientation val="minMax"/>
          <c:min val="-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Change in System PVRR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546779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2707536003803"/>
          <c:y val="2.8562152224617509E-2"/>
          <c:w val="0.84023481919321219"/>
          <c:h val="0.83821429981699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Risk!$A$4</c:f>
              <c:strCache>
                <c:ptCount val="1"/>
                <c:pt idx="0">
                  <c:v>1- Preferred Resource Strategy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8472406466358626"/>
                  <c:y val="0.1699519173850227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Risk!$B$4</c:f>
              <c:numCache>
                <c:formatCode>"$"#,##0.00_);[Red]\("$"#,##0.00\)</c:formatCode>
                <c:ptCount val="1"/>
                <c:pt idx="0">
                  <c:v>1275.1585479621278</c:v>
                </c:pt>
              </c:numCache>
            </c:numRef>
          </c:xVal>
          <c:yVal>
            <c:numRef>
              <c:f>Risk!$C$4</c:f>
              <c:numCache>
                <c:formatCode>_(* #,##0.00_);_(* \(#,##0.00\);_(* "-"??_);_(@_)</c:formatCode>
                <c:ptCount val="1"/>
                <c:pt idx="0">
                  <c:v>82.206242898733052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68-4FE2-9864-B0361D5C402F}"/>
            </c:ext>
          </c:extLst>
        </c:ser>
        <c:ser>
          <c:idx val="1"/>
          <c:order val="1"/>
          <c:tx>
            <c:strRef>
              <c:f>Risk!$A$5</c:f>
              <c:strCache>
                <c:ptCount val="1"/>
                <c:pt idx="0">
                  <c:v>2- Alternative Lowest Reasonable Cost Portfolio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9798915639113451"/>
                  <c:y val="-3.375527081091164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Risk!$B$5</c:f>
              <c:numCache>
                <c:formatCode>"$"#,##0.00_);[Red]\("$"#,##0.00\)</c:formatCode>
                <c:ptCount val="1"/>
                <c:pt idx="0">
                  <c:v>1267.0284729650075</c:v>
                </c:pt>
              </c:numCache>
            </c:numRef>
          </c:xVal>
          <c:yVal>
            <c:numRef>
              <c:f>Risk!$C$5</c:f>
              <c:numCache>
                <c:formatCode>_(* #,##0.00_);_(* \(#,##0.00\);_(* "-"??_);_(@_)</c:formatCode>
                <c:ptCount val="1"/>
                <c:pt idx="0">
                  <c:v>85.580683588277196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68-4FE2-9864-B0361D5C402F}"/>
            </c:ext>
          </c:extLst>
        </c:ser>
        <c:ser>
          <c:idx val="2"/>
          <c:order val="2"/>
          <c:tx>
            <c:strRef>
              <c:f>Risk!$A$6</c:f>
              <c:strCache>
                <c:ptCount val="1"/>
                <c:pt idx="0">
                  <c:v>3- Baseline Portfolio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9101657690907867"/>
                  <c:y val="-0.1061360801100972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16078213894487"/>
                      <c:h val="9.03085527419539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Risk!$B$6</c:f>
              <c:numCache>
                <c:formatCode>"$"#,##0.00_);[Red]\("$"#,##0.00\)</c:formatCode>
                <c:ptCount val="1"/>
                <c:pt idx="0">
                  <c:v>1262.9674564716888</c:v>
                </c:pt>
              </c:numCache>
            </c:numRef>
          </c:xVal>
          <c:yVal>
            <c:numRef>
              <c:f>Risk!$C$6</c:f>
              <c:numCache>
                <c:formatCode>_(* #,##0.00_);_(* \(#,##0.00\);_(* "-"??_);_(@_)</c:formatCode>
                <c:ptCount val="1"/>
                <c:pt idx="0">
                  <c:v>96.400182921488579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68-4FE2-9864-B0361D5C402F}"/>
            </c:ext>
          </c:extLst>
        </c:ser>
        <c:ser>
          <c:idx val="3"/>
          <c:order val="3"/>
          <c:tx>
            <c:strRef>
              <c:f>Risk!$A$7</c:f>
              <c:strCache>
                <c:ptCount val="1"/>
                <c:pt idx="0">
                  <c:v>4- No Resource Additions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6737597101706189E-3"/>
                  <c:y val="-3.184079269366629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Risk!$B$7</c:f>
              <c:numCache>
                <c:formatCode>"$"#,##0.00_);[Red]\("$"#,##0.00\)</c:formatCode>
                <c:ptCount val="1"/>
                <c:pt idx="0">
                  <c:v>1248.2320946297389</c:v>
                </c:pt>
              </c:numCache>
            </c:numRef>
          </c:xVal>
          <c:yVal>
            <c:numRef>
              <c:f>Risk!$C$7</c:f>
              <c:numCache>
                <c:formatCode>_(* #,##0.00_);_(* \(#,##0.00\);_(* "-"??_);_(@_)</c:formatCode>
                <c:ptCount val="1"/>
                <c:pt idx="0">
                  <c:v>137.1885254676742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68-4FE2-9864-B0361D5C402F}"/>
            </c:ext>
          </c:extLst>
        </c:ser>
        <c:ser>
          <c:idx val="4"/>
          <c:order val="4"/>
          <c:tx>
            <c:strRef>
              <c:f>Risk!$A$8</c:f>
              <c:strCache>
                <c:ptCount val="1"/>
                <c:pt idx="0">
                  <c:v>5- No CETA/ No new 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25400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390077681365229E-2"/>
                  <c:y val="-8.756217990758233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Risk!$B$8</c:f>
              <c:numCache>
                <c:formatCode>"$"#,##0.00_);[Red]\("$"#,##0.00\)</c:formatCode>
                <c:ptCount val="1"/>
                <c:pt idx="0">
                  <c:v>1273.7995713694413</c:v>
                </c:pt>
              </c:numCache>
            </c:numRef>
          </c:xVal>
          <c:yVal>
            <c:numRef>
              <c:f>Risk!$C$8</c:f>
              <c:numCache>
                <c:formatCode>_(* #,##0.00_);_(* \(#,##0.00\);_(* "-"??_);_(@_)</c:formatCode>
                <c:ptCount val="1"/>
                <c:pt idx="0">
                  <c:v>106.67916815458419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868-4FE2-9864-B0361D5C402F}"/>
            </c:ext>
          </c:extLst>
        </c:ser>
        <c:ser>
          <c:idx val="5"/>
          <c:order val="5"/>
          <c:tx>
            <c:strRef>
              <c:f>Risk!$A$9</c:f>
              <c:strCache>
                <c:ptCount val="1"/>
                <c:pt idx="0">
                  <c:v>6- WRAP PRM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2540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20823963935736703"/>
                  <c:y val="0.1251922883868869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Risk!$B$9</c:f>
              <c:numCache>
                <c:formatCode>"$"#,##0.00_);[Red]\("$"#,##0.00\)</c:formatCode>
                <c:ptCount val="1"/>
                <c:pt idx="0">
                  <c:v>1275.110415553748</c:v>
                </c:pt>
              </c:numCache>
            </c:numRef>
          </c:xVal>
          <c:yVal>
            <c:numRef>
              <c:f>Risk!$C$9</c:f>
              <c:numCache>
                <c:formatCode>_(* #,##0.00_);_(* \(#,##0.00\);_(* "-"??_);_(@_)</c:formatCode>
                <c:ptCount val="1"/>
                <c:pt idx="0">
                  <c:v>83.755765991045422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868-4FE2-9864-B0361D5C402F}"/>
            </c:ext>
          </c:extLst>
        </c:ser>
        <c:ser>
          <c:idx val="6"/>
          <c:order val="6"/>
          <c:tx>
            <c:strRef>
              <c:f>Risk!$A$10</c:f>
              <c:strCache>
                <c:ptCount val="1"/>
                <c:pt idx="0">
                  <c:v>7- WRAP PRM No QCC Changes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4869804104085284E-2"/>
                  <c:y val="0.2414800142626752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Risk!$B$10</c:f>
              <c:numCache>
                <c:formatCode>"$"#,##0.00_);[Red]\("$"#,##0.00\)</c:formatCode>
                <c:ptCount val="1"/>
                <c:pt idx="0">
                  <c:v>1266.1292021208994</c:v>
                </c:pt>
              </c:numCache>
            </c:numRef>
          </c:xVal>
          <c:yVal>
            <c:numRef>
              <c:f>Risk!$C$10</c:f>
              <c:numCache>
                <c:formatCode>_(* #,##0.00_);_(* \(#,##0.00\);_(* "-"??_);_(@_)</c:formatCode>
                <c:ptCount val="1"/>
                <c:pt idx="0">
                  <c:v>76.812634835324388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868-4FE2-9864-B0361D5C402F}"/>
            </c:ext>
          </c:extLst>
        </c:ser>
        <c:ser>
          <c:idx val="7"/>
          <c:order val="7"/>
          <c:tx>
            <c:strRef>
              <c:f>Risk!$A$11</c:f>
              <c:strCache>
                <c:ptCount val="1"/>
                <c:pt idx="0">
                  <c:v>8- VERs Assigned to Washington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20425534956614352"/>
                  <c:y val="6.461633415607290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9C-412D-BCBA-C80D871653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Risk!$B$11</c:f>
              <c:numCache>
                <c:formatCode>"$"#,##0.00_);[Red]\("$"#,##0.00\)</c:formatCode>
                <c:ptCount val="1"/>
                <c:pt idx="0">
                  <c:v>1277.597890944548</c:v>
                </c:pt>
              </c:numCache>
            </c:numRef>
          </c:xVal>
          <c:yVal>
            <c:numRef>
              <c:f>Risk!$C$11</c:f>
              <c:numCache>
                <c:formatCode>_(* #,##0.00_);_(* \(#,##0.00\);_(* "-"??_);_(@_)</c:formatCode>
                <c:ptCount val="1"/>
                <c:pt idx="0">
                  <c:v>84.590767146504902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868-4FE2-9864-B0361D5C402F}"/>
            </c:ext>
          </c:extLst>
        </c:ser>
        <c:ser>
          <c:idx val="8"/>
          <c:order val="8"/>
          <c:tx>
            <c:strRef>
              <c:f>Risk!$A$12</c:f>
              <c:strCache>
                <c:ptCount val="1"/>
                <c:pt idx="0">
                  <c:v>9- Low Economic Growth Loads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547054082694527"/>
                  <c:y val="5.130587991215775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Risk!$B$12</c:f>
              <c:numCache>
                <c:formatCode>"$"#,##0.00_);[Red]\("$"#,##0.00\)</c:formatCode>
                <c:ptCount val="1"/>
                <c:pt idx="0">
                  <c:v>1259.8734767880076</c:v>
                </c:pt>
              </c:numCache>
            </c:numRef>
          </c:xVal>
          <c:yVal>
            <c:numRef>
              <c:f>Risk!$C$12</c:f>
              <c:numCache>
                <c:formatCode>_(* #,##0.00_);_(* \(#,##0.00\);_(* "-"??_);_(@_)</c:formatCode>
                <c:ptCount val="1"/>
                <c:pt idx="0">
                  <c:v>74.341749494979283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868-4FE2-9864-B0361D5C402F}"/>
            </c:ext>
          </c:extLst>
        </c:ser>
        <c:ser>
          <c:idx val="9"/>
          <c:order val="9"/>
          <c:tx>
            <c:strRef>
              <c:f>Risk!$A$13</c:f>
              <c:strCache>
                <c:ptCount val="1"/>
                <c:pt idx="0">
                  <c:v>10- High Economic Growth Loads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26855795961474416"/>
                  <c:y val="2.122719512911086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Risk!$B$13</c:f>
              <c:numCache>
                <c:formatCode>"$"#,##0.00_);[Red]\("$"#,##0.00\)</c:formatCode>
                <c:ptCount val="1"/>
                <c:pt idx="0">
                  <c:v>1288.0826868211741</c:v>
                </c:pt>
              </c:numCache>
            </c:numRef>
          </c:xVal>
          <c:yVal>
            <c:numRef>
              <c:f>Risk!$C$13</c:f>
              <c:numCache>
                <c:formatCode>_(* #,##0.00_);_(* \(#,##0.00\);_(* "-"??_);_(@_)</c:formatCode>
                <c:ptCount val="1"/>
                <c:pt idx="0">
                  <c:v>88.132633105220407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868-4FE2-9864-B0361D5C402F}"/>
            </c:ext>
          </c:extLst>
        </c:ser>
        <c:ser>
          <c:idx val="10"/>
          <c:order val="10"/>
          <c:tx>
            <c:strRef>
              <c:f>Risk!$A$14</c:f>
              <c:strCache>
                <c:ptCount val="1"/>
                <c:pt idx="0">
                  <c:v>11- High Electric Vehicle 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238772657064858E-2"/>
                  <c:y val="-3.36533296491717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Risk!$B$14</c:f>
              <c:numCache>
                <c:formatCode>"$"#,##0.00_);[Red]\("$"#,##0.00\)</c:formatCode>
                <c:ptCount val="1"/>
                <c:pt idx="0">
                  <c:v>1305.5933741981064</c:v>
                </c:pt>
              </c:numCache>
            </c:numRef>
          </c:xVal>
          <c:yVal>
            <c:numRef>
              <c:f>Risk!$C$14</c:f>
              <c:numCache>
                <c:formatCode>_(* #,##0.00_);_(* \(#,##0.00\);_(* "-"??_);_(@_)</c:formatCode>
                <c:ptCount val="1"/>
                <c:pt idx="0">
                  <c:v>89.492196042480344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868-4FE2-9864-B0361D5C402F}"/>
            </c:ext>
          </c:extLst>
        </c:ser>
        <c:ser>
          <c:idx val="11"/>
          <c:order val="11"/>
          <c:tx>
            <c:strRef>
              <c:f>Risk!$A$15</c:f>
              <c:strCache>
                <c:ptCount val="1"/>
                <c:pt idx="0">
                  <c:v>12- WA Space/ Water Electrification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510639565255966E-2"/>
                  <c:y val="-2.653399391138906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Risk!$B$15</c:f>
              <c:numCache>
                <c:formatCode>"$"#,##0.00_);[Red]\("$"#,##0.00\)</c:formatCode>
                <c:ptCount val="1"/>
                <c:pt idx="0">
                  <c:v>1371.2571047009742</c:v>
                </c:pt>
              </c:numCache>
            </c:numRef>
          </c:xVal>
          <c:yVal>
            <c:numRef>
              <c:f>Risk!$C$15</c:f>
              <c:numCache>
                <c:formatCode>_(* #,##0.00_);_(* \(#,##0.00\);_(* "-"??_);_(@_)</c:formatCode>
                <c:ptCount val="1"/>
                <c:pt idx="0">
                  <c:v>102.20688051056088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868-4FE2-9864-B0361D5C402F}"/>
            </c:ext>
          </c:extLst>
        </c:ser>
        <c:ser>
          <c:idx val="12"/>
          <c:order val="12"/>
          <c:tx>
            <c:strRef>
              <c:f>Risk!$A$16</c:f>
              <c:strCache>
                <c:ptCount val="1"/>
                <c:pt idx="0">
                  <c:v>13- WA Space/ Water Electrification w/NG Backup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5650129468942048E-3"/>
                  <c:y val="-0.1698175610328868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Risk!$B$16</c:f>
              <c:numCache>
                <c:formatCode>"$"#,##0.00_);[Red]\("$"#,##0.00\)</c:formatCode>
                <c:ptCount val="1"/>
                <c:pt idx="0">
                  <c:v>1325.3928429867635</c:v>
                </c:pt>
              </c:numCache>
            </c:numRef>
          </c:xVal>
          <c:yVal>
            <c:numRef>
              <c:f>Risk!$C$15</c:f>
              <c:numCache>
                <c:formatCode>_(* #,##0.00_);_(* \(#,##0.00\);_(* "-"??_);_(@_)</c:formatCode>
                <c:ptCount val="1"/>
                <c:pt idx="0">
                  <c:v>102.20688051056088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868-4FE2-9864-B0361D5C402F}"/>
            </c:ext>
          </c:extLst>
        </c:ser>
        <c:ser>
          <c:idx val="13"/>
          <c:order val="13"/>
          <c:tx>
            <c:strRef>
              <c:f>Risk!$A$17</c:f>
              <c:strCache>
                <c:ptCount val="1"/>
                <c:pt idx="0">
                  <c:v>14- Combined Electrification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1063837391535742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9C-412D-BCBA-C80D871653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Risk!$B$17</c:f>
              <c:numCache>
                <c:formatCode>"$"#,##0.00_);[Red]\("$"#,##0.00\)</c:formatCode>
                <c:ptCount val="1"/>
                <c:pt idx="0">
                  <c:v>1405.9038405038336</c:v>
                </c:pt>
              </c:numCache>
            </c:numRef>
          </c:xVal>
          <c:yVal>
            <c:numRef>
              <c:f>Risk!$C$17</c:f>
              <c:numCache>
                <c:formatCode>_(* #,##0.00_);_(* \(#,##0.00\);_(* "-"??_);_(@_)</c:formatCode>
                <c:ptCount val="1"/>
                <c:pt idx="0">
                  <c:v>123.10163980783383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868-4FE2-9864-B0361D5C402F}"/>
            </c:ext>
          </c:extLst>
        </c:ser>
        <c:ser>
          <c:idx val="14"/>
          <c:order val="14"/>
          <c:tx>
            <c:strRef>
              <c:f>Risk!$A$18</c:f>
              <c:strCache>
                <c:ptCount val="1"/>
                <c:pt idx="0">
                  <c:v>15- Clean Portfolio by 2045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6737597101706602E-2"/>
                  <c:y val="7.909747692979647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Risk!$B$18</c:f>
              <c:numCache>
                <c:formatCode>"$"#,##0.00_);[Red]\("$"#,##0.00\)</c:formatCode>
                <c:ptCount val="1"/>
                <c:pt idx="0">
                  <c:v>1286.5465939712069</c:v>
                </c:pt>
              </c:numCache>
            </c:numRef>
          </c:xVal>
          <c:yVal>
            <c:numRef>
              <c:f>Risk!$C$18</c:f>
              <c:numCache>
                <c:formatCode>_(* #,##0.00_);_(* \(#,##0.00\);_(* "-"??_);_(@_)</c:formatCode>
                <c:ptCount val="1"/>
                <c:pt idx="0">
                  <c:v>58.858167279015603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868-4FE2-9864-B0361D5C402F}"/>
            </c:ext>
          </c:extLst>
        </c:ser>
        <c:ser>
          <c:idx val="15"/>
          <c:order val="15"/>
          <c:tx>
            <c:strRef>
              <c:f>Risk!$A$19</c:f>
              <c:strCache>
                <c:ptCount val="1"/>
                <c:pt idx="0">
                  <c:v>16- Social Cost Included for Idaho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9093750167532275"/>
                  <c:y val="0.2025481378969711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68-4FE2-9864-B0361D5C4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Risk!$B$19</c:f>
              <c:numCache>
                <c:formatCode>"$"#,##0.00_);[Red]\("$"#,##0.00\)</c:formatCode>
                <c:ptCount val="1"/>
                <c:pt idx="0">
                  <c:v>1277.27963090034</c:v>
                </c:pt>
              </c:numCache>
            </c:numRef>
          </c:xVal>
          <c:yVal>
            <c:numRef>
              <c:f>Risk!$C$19</c:f>
              <c:numCache>
                <c:formatCode>_(* #,##0.00_);_(* \(#,##0.00\);_(* "-"??_);_(@_)</c:formatCode>
                <c:ptCount val="1"/>
                <c:pt idx="0">
                  <c:v>76.941924896823139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868-4FE2-9864-B0361D5C402F}"/>
            </c:ext>
          </c:extLst>
        </c:ser>
        <c:ser>
          <c:idx val="16"/>
          <c:order val="16"/>
          <c:tx>
            <c:strRef>
              <c:f>Risk!$A$20</c:f>
              <c:strCache>
                <c:ptCount val="1"/>
                <c:pt idx="0">
                  <c:v>17- WA Maximum Customer Benefits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33096931642662147"/>
                  <c:y val="-1.988194897109940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9C-412D-BCBA-C80D871653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Risk!$B$20</c:f>
              <c:numCache>
                <c:formatCode>"$"#,##0.00_);[Red]\("$"#,##0.00\)</c:formatCode>
                <c:ptCount val="1"/>
                <c:pt idx="0">
                  <c:v>1306.386088431326</c:v>
                </c:pt>
              </c:numCache>
            </c:numRef>
          </c:xVal>
          <c:yVal>
            <c:numRef>
              <c:f>Risk!$C$20</c:f>
              <c:numCache>
                <c:formatCode>_(* #,##0.00_);_(* \(#,##0.00\);_(* "-"??_);_(@_)</c:formatCode>
                <c:ptCount val="1"/>
                <c:pt idx="0">
                  <c:v>88.870847309407424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9C-412D-BCBA-C80D8716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28080"/>
        <c:axId val="71034736"/>
      </c:scatterChart>
      <c:valAx>
        <c:axId val="71028080"/>
        <c:scaling>
          <c:orientation val="minMax"/>
          <c:max val="1500"/>
          <c:min val="1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Levelized Revenue Requirement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34736"/>
        <c:crosses val="autoZero"/>
        <c:crossBetween val="midCat"/>
      </c:valAx>
      <c:valAx>
        <c:axId val="71034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/>
                  <a:t>2045 Tail Var95</a:t>
                </a:r>
              </a:p>
            </c:rich>
          </c:tx>
          <c:layout>
            <c:manualLayout>
              <c:xMode val="edge"/>
              <c:yMode val="edge"/>
              <c:x val="1.4644256755348077E-2"/>
              <c:y val="0.371264478524492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280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39724740553962"/>
          <c:y val="3.408718101077679E-2"/>
          <c:w val="0.5598838395999286"/>
          <c:h val="0.8559697885583104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Risk!$B$27</c:f>
              <c:strCache>
                <c:ptCount val="1"/>
                <c:pt idx="0">
                  <c:v>System Levelized PVRR ($ Mill)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Risk!$A$28:$A$44</c:f>
              <c:strCache>
                <c:ptCount val="17"/>
                <c:pt idx="0">
                  <c:v>9- Low Economic Growth Loads</c:v>
                </c:pt>
                <c:pt idx="1">
                  <c:v>4- No Resource Additions</c:v>
                </c:pt>
                <c:pt idx="2">
                  <c:v>7- WRAP PRM No QCC Changes</c:v>
                </c:pt>
                <c:pt idx="3">
                  <c:v>3- Baseline Portfolio</c:v>
                </c:pt>
                <c:pt idx="4">
                  <c:v>2- Alternative Lowest Reasonable Cost Portfolio</c:v>
                </c:pt>
                <c:pt idx="5">
                  <c:v>6- WRAP PRM</c:v>
                </c:pt>
                <c:pt idx="6">
                  <c:v>1- Preferred Resource Strategy</c:v>
                </c:pt>
                <c:pt idx="7">
                  <c:v>5- No CETA/ No new NG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Risk!$B$28:$B$44</c:f>
              <c:numCache>
                <c:formatCode>_(* #,##0_);_(* \(#,##0\);_(* "-"??_);_(@_)</c:formatCode>
                <c:ptCount val="17"/>
                <c:pt idx="0">
                  <c:v>1259.8734767880076</c:v>
                </c:pt>
                <c:pt idx="1">
                  <c:v>1248.2320946297389</c:v>
                </c:pt>
                <c:pt idx="2">
                  <c:v>1266.1292021208994</c:v>
                </c:pt>
                <c:pt idx="3">
                  <c:v>1262.9674564716888</c:v>
                </c:pt>
                <c:pt idx="4">
                  <c:v>1267.0284729650075</c:v>
                </c:pt>
                <c:pt idx="5">
                  <c:v>1275.110415553748</c:v>
                </c:pt>
                <c:pt idx="6">
                  <c:v>1275.1585479621278</c:v>
                </c:pt>
                <c:pt idx="7">
                  <c:v>1273.7995713694413</c:v>
                </c:pt>
                <c:pt idx="8">
                  <c:v>1277.27963090034</c:v>
                </c:pt>
                <c:pt idx="9">
                  <c:v>1277.597890944548</c:v>
                </c:pt>
                <c:pt idx="10">
                  <c:v>1286.5465939712069</c:v>
                </c:pt>
                <c:pt idx="11">
                  <c:v>1288.0826868211741</c:v>
                </c:pt>
                <c:pt idx="12">
                  <c:v>1305.5933741981064</c:v>
                </c:pt>
                <c:pt idx="13">
                  <c:v>1306.386088431326</c:v>
                </c:pt>
                <c:pt idx="14">
                  <c:v>1325.3928429867635</c:v>
                </c:pt>
                <c:pt idx="15">
                  <c:v>1371.2571047009742</c:v>
                </c:pt>
                <c:pt idx="16">
                  <c:v>1405.9038405038336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0-4864-B182-38E688ED4D65}"/>
            </c:ext>
          </c:extLst>
        </c:ser>
        <c:ser>
          <c:idx val="1"/>
          <c:order val="1"/>
          <c:tx>
            <c:strRef>
              <c:f>Risk!$C$27</c:f>
              <c:strCache>
                <c:ptCount val="1"/>
                <c:pt idx="0">
                  <c:v>Levelized Tail Risk ($ Mill)</c:v>
                </c:pt>
              </c:strCache>
            </c:strRef>
          </c:tx>
          <c:spPr>
            <a:solidFill>
              <a:srgbClr val="96D1F2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Risk!$A$28:$A$44</c:f>
              <c:strCache>
                <c:ptCount val="17"/>
                <c:pt idx="0">
                  <c:v>9- Low Economic Growth Loads</c:v>
                </c:pt>
                <c:pt idx="1">
                  <c:v>4- No Resource Additions</c:v>
                </c:pt>
                <c:pt idx="2">
                  <c:v>7- WRAP PRM No QCC Changes</c:v>
                </c:pt>
                <c:pt idx="3">
                  <c:v>3- Baseline Portfolio</c:v>
                </c:pt>
                <c:pt idx="4">
                  <c:v>2- Alternative Lowest Reasonable Cost Portfolio</c:v>
                </c:pt>
                <c:pt idx="5">
                  <c:v>6- WRAP PRM</c:v>
                </c:pt>
                <c:pt idx="6">
                  <c:v>1- Preferred Resource Strategy</c:v>
                </c:pt>
                <c:pt idx="7">
                  <c:v>5- No CETA/ No new NG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Risk!$C$28:$C$44</c:f>
              <c:numCache>
                <c:formatCode>_(* #,##0_);_(* \(#,##0\);_(* "-"??_);_(@_)</c:formatCode>
                <c:ptCount val="17"/>
                <c:pt idx="0">
                  <c:v>36.511444483763221</c:v>
                </c:pt>
                <c:pt idx="1">
                  <c:v>53.145396465321149</c:v>
                </c:pt>
                <c:pt idx="2">
                  <c:v>38.661651673421105</c:v>
                </c:pt>
                <c:pt idx="3">
                  <c:v>42.243066861622438</c:v>
                </c:pt>
                <c:pt idx="4">
                  <c:v>40.046515294963612</c:v>
                </c:pt>
                <c:pt idx="5">
                  <c:v>39.414125144430557</c:v>
                </c:pt>
                <c:pt idx="6">
                  <c:v>39.958345841230454</c:v>
                </c:pt>
                <c:pt idx="7">
                  <c:v>41.699473525788676</c:v>
                </c:pt>
                <c:pt idx="8">
                  <c:v>39.179074309389378</c:v>
                </c:pt>
                <c:pt idx="9">
                  <c:v>39.524619616277349</c:v>
                </c:pt>
                <c:pt idx="10">
                  <c:v>38.837360408383809</c:v>
                </c:pt>
                <c:pt idx="11">
                  <c:v>42.055532063525561</c:v>
                </c:pt>
                <c:pt idx="12">
                  <c:v>40.846295500420105</c:v>
                </c:pt>
                <c:pt idx="13">
                  <c:v>41.580529928859939</c:v>
                </c:pt>
                <c:pt idx="14">
                  <c:v>41.15033151276797</c:v>
                </c:pt>
                <c:pt idx="15">
                  <c:v>41.272549278800156</c:v>
                </c:pt>
                <c:pt idx="16">
                  <c:v>40.763148446941955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0-4864-B182-38E688ED4D65}"/>
            </c:ext>
          </c:extLst>
        </c:ser>
        <c:ser>
          <c:idx val="2"/>
          <c:order val="2"/>
          <c:tx>
            <c:strRef>
              <c:f>Risk!$D$27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Risk!$A$28:$A$44</c:f>
              <c:strCache>
                <c:ptCount val="17"/>
                <c:pt idx="0">
                  <c:v>9- Low Economic Growth Loads</c:v>
                </c:pt>
                <c:pt idx="1">
                  <c:v>4- No Resource Additions</c:v>
                </c:pt>
                <c:pt idx="2">
                  <c:v>7- WRAP PRM No QCC Changes</c:v>
                </c:pt>
                <c:pt idx="3">
                  <c:v>3- Baseline Portfolio</c:v>
                </c:pt>
                <c:pt idx="4">
                  <c:v>2- Alternative Lowest Reasonable Cost Portfolio</c:v>
                </c:pt>
                <c:pt idx="5">
                  <c:v>6- WRAP PRM</c:v>
                </c:pt>
                <c:pt idx="6">
                  <c:v>1- Preferred Resource Strategy</c:v>
                </c:pt>
                <c:pt idx="7">
                  <c:v>5- No CETA/ No new NG</c:v>
                </c:pt>
                <c:pt idx="8">
                  <c:v>16- Social Cost Included for Idaho</c:v>
                </c:pt>
                <c:pt idx="9">
                  <c:v>8- VERs Assigned to Washington</c:v>
                </c:pt>
                <c:pt idx="10">
                  <c:v>15- Clean Portfolio by 2045</c:v>
                </c:pt>
                <c:pt idx="11">
                  <c:v>10- High Economic Growth Loads</c:v>
                </c:pt>
                <c:pt idx="12">
                  <c:v>11- High Electric Vehicle Growth</c:v>
                </c:pt>
                <c:pt idx="13">
                  <c:v>17- WA Maximum Customer Benefits</c:v>
                </c:pt>
                <c:pt idx="14">
                  <c:v>13- WA Space/ Water Electrification w/NG Backup</c:v>
                </c:pt>
                <c:pt idx="15">
                  <c:v>12- WA Space/ Water Electrification</c:v>
                </c:pt>
                <c:pt idx="16">
                  <c:v>14- Combined Electrification</c:v>
                </c:pt>
              </c:strCache>
            </c:strRef>
          </c:cat>
          <c:val>
            <c:numRef>
              <c:f>Risk!$D$28:$D$44</c:f>
              <c:numCache>
                <c:formatCode>_(* #,##0_);_(* \(#,##0\);_(* "-"??_);_(@_)</c:formatCode>
                <c:ptCount val="17"/>
                <c:pt idx="0">
                  <c:v>1296.3849212717707</c:v>
                </c:pt>
                <c:pt idx="1">
                  <c:v>1301.3774910950601</c:v>
                </c:pt>
                <c:pt idx="2">
                  <c:v>1304.7908537943206</c:v>
                </c:pt>
                <c:pt idx="3">
                  <c:v>1305.2105233333114</c:v>
                </c:pt>
                <c:pt idx="4">
                  <c:v>1307.0749882599712</c:v>
                </c:pt>
                <c:pt idx="5">
                  <c:v>1314.5245406981785</c:v>
                </c:pt>
                <c:pt idx="6">
                  <c:v>1315.1168938033584</c:v>
                </c:pt>
                <c:pt idx="7">
                  <c:v>1315.4990448952299</c:v>
                </c:pt>
                <c:pt idx="8">
                  <c:v>1316.4587052097293</c:v>
                </c:pt>
                <c:pt idx="9">
                  <c:v>1317.1225105608253</c:v>
                </c:pt>
                <c:pt idx="10">
                  <c:v>1325.3839543795907</c:v>
                </c:pt>
                <c:pt idx="11">
                  <c:v>1330.1382188846997</c:v>
                </c:pt>
                <c:pt idx="12">
                  <c:v>1346.4396696985266</c:v>
                </c:pt>
                <c:pt idx="13">
                  <c:v>1347.966618360186</c:v>
                </c:pt>
                <c:pt idx="14">
                  <c:v>1366.5431744995315</c:v>
                </c:pt>
                <c:pt idx="15">
                  <c:v>1412.5296539797744</c:v>
                </c:pt>
                <c:pt idx="16">
                  <c:v>1446.6669889507757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0-4864-B182-38E688ED4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71043056"/>
        <c:axId val="71029744"/>
      </c:barChart>
      <c:catAx>
        <c:axId val="7104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29744"/>
        <c:crosses val="autoZero"/>
        <c:auto val="1"/>
        <c:lblAlgn val="ctr"/>
        <c:lblOffset val="100"/>
        <c:noMultiLvlLbl val="0"/>
      </c:catAx>
      <c:valAx>
        <c:axId val="71029744"/>
        <c:scaling>
          <c:orientation val="minMax"/>
          <c:max val="2500"/>
        </c:scaling>
        <c:delete val="0"/>
        <c:axPos val="b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43056"/>
        <c:crosses val="autoZero"/>
        <c:crossBetween val="between"/>
        <c:majorUnit val="5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8411630829851556"/>
          <c:y val="0.93982425384482138"/>
          <c:w val="0.5524544979313758"/>
          <c:h val="4.1821110226298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85724</xdr:colOff>
      <xdr:row>3</xdr:row>
      <xdr:rowOff>138112</xdr:rowOff>
    </xdr:from>
    <xdr:to>
      <xdr:col>35</xdr:col>
      <xdr:colOff>552450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</xdr:colOff>
      <xdr:row>27</xdr:row>
      <xdr:rowOff>14287</xdr:rowOff>
    </xdr:from>
    <xdr:to>
      <xdr:col>25</xdr:col>
      <xdr:colOff>0</xdr:colOff>
      <xdr:row>51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509586</xdr:colOff>
      <xdr:row>1</xdr:row>
      <xdr:rowOff>204786</xdr:rowOff>
    </xdr:from>
    <xdr:to>
      <xdr:col>16</xdr:col>
      <xdr:colOff>304799</xdr:colOff>
      <xdr:row>28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36AC19-8704-45E7-A6E6-AB9F5FCC9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31</xdr:row>
      <xdr:rowOff>0</xdr:rowOff>
    </xdr:from>
    <xdr:to>
      <xdr:col>17</xdr:col>
      <xdr:colOff>490538</xdr:colOff>
      <xdr:row>60</xdr:row>
      <xdr:rowOff>147638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49BFB2-787A-407E-BED8-3A5C92217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576261</xdr:colOff>
      <xdr:row>63</xdr:row>
      <xdr:rowOff>109536</xdr:rowOff>
    </xdr:from>
    <xdr:to>
      <xdr:col>16</xdr:col>
      <xdr:colOff>390524</xdr:colOff>
      <xdr:row>95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41E411-D44A-44CC-AB7C-F23ED6F979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338137</xdr:colOff>
      <xdr:row>2</xdr:row>
      <xdr:rowOff>128586</xdr:rowOff>
    </xdr:from>
    <xdr:to>
      <xdr:col>18</xdr:col>
      <xdr:colOff>495300</xdr:colOff>
      <xdr:row>29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F08BFE-85CD-4B15-8F40-1ABB18C2F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347662</xdr:colOff>
      <xdr:row>31</xdr:row>
      <xdr:rowOff>157162</xdr:rowOff>
    </xdr:from>
    <xdr:to>
      <xdr:col>20</xdr:col>
      <xdr:colOff>95250</xdr:colOff>
      <xdr:row>54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A606BE-BA2F-4781-93D5-4F49E303AC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295276</xdr:colOff>
      <xdr:row>26</xdr:row>
      <xdr:rowOff>433387</xdr:rowOff>
    </xdr:from>
    <xdr:to>
      <xdr:col>19</xdr:col>
      <xdr:colOff>304800</xdr:colOff>
      <xdr:row>58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DA63C-1F38-4044-AF28-EE7E8F1C2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442911</xdr:colOff>
      <xdr:row>26</xdr:row>
      <xdr:rowOff>423861</xdr:rowOff>
    </xdr:from>
    <xdr:to>
      <xdr:col>30</xdr:col>
      <xdr:colOff>390525</xdr:colOff>
      <xdr:row>56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77628F-9013-4F88-957D-1CEEA35DE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485774</xdr:colOff>
      <xdr:row>59</xdr:row>
      <xdr:rowOff>90486</xdr:rowOff>
    </xdr:from>
    <xdr:to>
      <xdr:col>18</xdr:col>
      <xdr:colOff>419100</xdr:colOff>
      <xdr:row>89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3A523D-9198-457D-9BC9-1B0D0F326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"/>
  <sheetViews>
    <sheetView workbookViewId="0">
      <selection activeCell="B20" sqref="B20"/>
    </sheetView>
  </sheetViews>
  <sheetFormatPr defaultRowHeight="12.75" x14ac:dyDescent="0.2"/>
  <cols>
    <col min="1" max="1" width="44.28515625" style="6" bestFit="1" customWidth="1"/>
    <col min="2" max="4" width="9.140625" style="6"/>
    <col min="5" max="5" width="17.85546875" style="6" bestFit="1" customWidth="1"/>
    <col min="6" max="6" width="14" style="6" bestFit="1" customWidth="1"/>
    <col min="7" max="7" width="13.5703125" style="6" bestFit="1" customWidth="1"/>
    <col min="8" max="8" width="17.7109375" style="6" bestFit="1" customWidth="1"/>
    <col min="9" max="16384" width="9.140625" style="6"/>
  </cols>
  <sheetData>
    <row r="2" spans="1:8" x14ac:dyDescent="0.2">
      <c r="B2" s="6" t="s">
        <v>6</v>
      </c>
      <c r="C2" s="6" t="s">
        <v>195</v>
      </c>
      <c r="E2" s="6" t="s">
        <v>246</v>
      </c>
      <c r="F2" s="6" t="s">
        <v>239</v>
      </c>
      <c r="G2" s="6" t="s">
        <v>240</v>
      </c>
      <c r="H2" s="6" t="s">
        <v>247</v>
      </c>
    </row>
    <row r="3" spans="1:8" x14ac:dyDescent="0.2">
      <c r="A3" s="6" t="s">
        <v>60</v>
      </c>
      <c r="B3" s="8">
        <f>'Summary Data'!F27</f>
        <v>14981.146365034518</v>
      </c>
      <c r="E3" s="8">
        <f>Sensitivities!F27</f>
        <v>14973.195994019154</v>
      </c>
      <c r="F3" s="8">
        <f>Sensitivities!AC27</f>
        <v>15243.027439830759</v>
      </c>
      <c r="G3" s="8">
        <f>Sensitivities!AZ27</f>
        <v>14520.038884312455</v>
      </c>
      <c r="H3" s="8">
        <f>Sensitivities!BW27</f>
        <v>14958.262859229872</v>
      </c>
    </row>
    <row r="4" spans="1:8" x14ac:dyDescent="0.2">
      <c r="A4" s="6" t="s">
        <v>88</v>
      </c>
      <c r="B4" s="8">
        <f>'Summary Data'!F55</f>
        <v>14891.150274758635</v>
      </c>
      <c r="C4" s="8">
        <f>B4-$B$3</f>
        <v>-89.996090275883034</v>
      </c>
    </row>
    <row r="5" spans="1:8" x14ac:dyDescent="0.2">
      <c r="A5" s="6" t="s">
        <v>248</v>
      </c>
      <c r="B5" s="8">
        <f>'Summary Data'!F84</f>
        <v>14846.54369185882</v>
      </c>
      <c r="C5" s="8">
        <f>B5-$B$3</f>
        <v>-134.60267317569742</v>
      </c>
      <c r="D5" s="8"/>
      <c r="E5" s="8">
        <f>Sensitivities!F84</f>
        <v>14849.36878818066</v>
      </c>
      <c r="F5" s="8">
        <f>Sensitivities!AC84</f>
        <v>15154.999383764038</v>
      </c>
      <c r="G5" s="8">
        <f>Sensitivities!AZ84</f>
        <v>14375.059542036503</v>
      </c>
      <c r="H5" s="8">
        <f>Sensitivities!BW84</f>
        <v>14840.785960124145</v>
      </c>
    </row>
    <row r="6" spans="1:8" x14ac:dyDescent="0.2">
      <c r="A6" s="6" t="s">
        <v>219</v>
      </c>
      <c r="B6" s="8">
        <f>'Summary Data'!F114</f>
        <v>14683.849556088147</v>
      </c>
      <c r="C6" s="8">
        <f>B6-$B$3</f>
        <v>-297.29680894637022</v>
      </c>
    </row>
    <row r="7" spans="1:8" x14ac:dyDescent="0.2">
      <c r="A7" s="6" t="s">
        <v>249</v>
      </c>
      <c r="B7" s="8">
        <f>'Summary Data'!F141</f>
        <v>14966.141811725889</v>
      </c>
      <c r="C7" s="8">
        <f>B7-$B$3</f>
        <v>-15.004553308628601</v>
      </c>
    </row>
    <row r="8" spans="1:8" x14ac:dyDescent="0.2">
      <c r="A8" s="6" t="s">
        <v>183</v>
      </c>
      <c r="B8" s="8">
        <f>'Summary Data'!F168</f>
        <v>14980.613489808844</v>
      </c>
      <c r="C8" s="8">
        <f>B8-$B$3</f>
        <v>-0.53287522567370615</v>
      </c>
    </row>
    <row r="9" spans="1:8" x14ac:dyDescent="0.2">
      <c r="A9" s="6" t="s">
        <v>203</v>
      </c>
      <c r="B9" s="8">
        <f>'Summary Data'!F195</f>
        <v>14881.449655532444</v>
      </c>
      <c r="C9" s="8">
        <f t="shared" ref="C9:C19" si="0">B9-$B$3</f>
        <v>-99.696709502073645</v>
      </c>
    </row>
    <row r="10" spans="1:8" x14ac:dyDescent="0.2">
      <c r="A10" s="6" t="s">
        <v>184</v>
      </c>
      <c r="B10" s="8">
        <f>'Summary Data'!F222</f>
        <v>15008.076645897228</v>
      </c>
      <c r="C10" s="8">
        <f t="shared" si="0"/>
        <v>26.930280862710788</v>
      </c>
    </row>
    <row r="11" spans="1:8" x14ac:dyDescent="0.2">
      <c r="A11" s="6" t="s">
        <v>204</v>
      </c>
      <c r="B11" s="8">
        <f>'Summary Data'!F249</f>
        <v>14812.382851010268</v>
      </c>
      <c r="C11" s="8">
        <f t="shared" si="0"/>
        <v>-168.76351402424916</v>
      </c>
    </row>
    <row r="12" spans="1:8" x14ac:dyDescent="0.2">
      <c r="A12" s="6" t="s">
        <v>185</v>
      </c>
      <c r="B12" s="8">
        <f>'Summary Data'!F276</f>
        <v>15123.84266423677</v>
      </c>
      <c r="C12" s="8">
        <f t="shared" si="0"/>
        <v>142.6962992022527</v>
      </c>
    </row>
    <row r="13" spans="1:8" x14ac:dyDescent="0.2">
      <c r="A13" s="6" t="s">
        <v>186</v>
      </c>
      <c r="B13" s="8">
        <f>'Summary Data'!F303</f>
        <v>15317.110231094239</v>
      </c>
      <c r="C13" s="8">
        <f t="shared" si="0"/>
        <v>335.96386605972111</v>
      </c>
    </row>
    <row r="14" spans="1:8" x14ac:dyDescent="0.2">
      <c r="A14" s="6" t="s">
        <v>228</v>
      </c>
      <c r="B14" s="8">
        <f>'Summary Data'!F330</f>
        <v>16043.483367578745</v>
      </c>
      <c r="C14" s="8">
        <f t="shared" si="0"/>
        <v>1062.3370025442273</v>
      </c>
    </row>
    <row r="15" spans="1:8" x14ac:dyDescent="0.2">
      <c r="A15" s="6" t="s">
        <v>229</v>
      </c>
      <c r="B15" s="8">
        <f>'Summary Data'!F357</f>
        <v>15536.673447730398</v>
      </c>
      <c r="C15" s="8">
        <f>B15-$B$3</f>
        <v>555.52708269588038</v>
      </c>
    </row>
    <row r="16" spans="1:8" x14ac:dyDescent="0.2">
      <c r="A16" s="6" t="s">
        <v>187</v>
      </c>
      <c r="B16" s="8">
        <f>'Summary Data'!F384</f>
        <v>16425.9792811673</v>
      </c>
      <c r="C16" s="8">
        <f>B16-$B$3</f>
        <v>1444.832916132782</v>
      </c>
    </row>
    <row r="17" spans="1:8" x14ac:dyDescent="0.2">
      <c r="A17" s="6" t="s">
        <v>202</v>
      </c>
      <c r="B17" s="8">
        <f>'Summary Data'!F411</f>
        <v>15106.882957464606</v>
      </c>
      <c r="C17" s="8">
        <f t="shared" si="0"/>
        <v>125.73659243008842</v>
      </c>
      <c r="E17" s="8">
        <f>Sensitivities!F411</f>
        <v>15087.554249331824</v>
      </c>
      <c r="F17" s="8">
        <f>Sensitivities!AC411</f>
        <v>15326.891026289133</v>
      </c>
      <c r="G17" s="8">
        <f>Sensitivities!AZ411</f>
        <v>14653.818613799191</v>
      </c>
      <c r="H17" s="8">
        <f>Sensitivities!BW411</f>
        <v>15067.21755436284</v>
      </c>
    </row>
    <row r="18" spans="1:8" x14ac:dyDescent="0.2">
      <c r="A18" s="6" t="s">
        <v>250</v>
      </c>
      <c r="B18" s="8">
        <f>'Summary Data'!F438</f>
        <v>15004.406920136642</v>
      </c>
      <c r="C18" s="8">
        <f t="shared" si="0"/>
        <v>23.260555102124272</v>
      </c>
    </row>
    <row r="19" spans="1:8" x14ac:dyDescent="0.2">
      <c r="A19" s="6" t="s">
        <v>251</v>
      </c>
      <c r="B19" s="8">
        <f>'Summary Data'!F465</f>
        <v>15326.065854855904</v>
      </c>
      <c r="C19" s="8">
        <f t="shared" si="0"/>
        <v>344.91948982138638</v>
      </c>
    </row>
    <row r="20" spans="1:8" x14ac:dyDescent="0.2">
      <c r="A20" s="6" t="s">
        <v>262</v>
      </c>
    </row>
    <row r="22" spans="1:8" x14ac:dyDescent="0.2">
      <c r="B22" s="8"/>
      <c r="F22" s="8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BE180"/>
  <sheetViews>
    <sheetView zoomScale="80" zoomScaleNormal="80" workbookViewId="0">
      <pane xSplit="1" ySplit="3" topLeftCell="B99" activePane="bottomRight" state="frozen"/>
      <selection pane="topRight" activeCell="B1" sqref="B1"/>
      <selection pane="bottomLeft" activeCell="A4" sqref="A4"/>
      <selection pane="bottomRight" activeCell="B123" sqref="B123"/>
    </sheetView>
  </sheetViews>
  <sheetFormatPr defaultRowHeight="14.25" x14ac:dyDescent="0.2"/>
  <cols>
    <col min="1" max="1" width="25" style="63" bestFit="1" customWidth="1"/>
    <col min="2" max="26" width="10.85546875" style="63" customWidth="1"/>
    <col min="27" max="40" width="9.140625" style="63"/>
    <col min="41" max="41" width="15.7109375" style="63" customWidth="1"/>
    <col min="42" max="16384" width="9.140625" style="63"/>
  </cols>
  <sheetData>
    <row r="1" spans="1:41" x14ac:dyDescent="0.2">
      <c r="A1" s="1">
        <v>6.5100000000000005E-2</v>
      </c>
    </row>
    <row r="2" spans="1:41" x14ac:dyDescent="0.2">
      <c r="B2" s="63" t="s">
        <v>9</v>
      </c>
      <c r="T2" s="63" t="s">
        <v>8</v>
      </c>
    </row>
    <row r="3" spans="1:41" s="64" customFormat="1" ht="76.5" x14ac:dyDescent="0.2">
      <c r="B3" s="60" t="str">
        <f>'Scenario List'!$A$3</f>
        <v>1- Preferred Resource Strategy</v>
      </c>
      <c r="C3" s="60" t="str">
        <f>'Scenario List'!$A$4</f>
        <v>2- Alternative Lowest Reasonable Cost Portfolio</v>
      </c>
      <c r="D3" s="60" t="str">
        <f>'Scenario List'!$A$5</f>
        <v>3- Baseline Portfolio</v>
      </c>
      <c r="E3" s="60" t="str">
        <f>'Scenario List'!$A$6</f>
        <v>4- No Resource Additions</v>
      </c>
      <c r="F3" s="60" t="str">
        <f>'Scenario List'!$A$7</f>
        <v>5- No CETA/ No new NG</v>
      </c>
      <c r="G3" s="60" t="str">
        <f>'Scenario List'!$A$8</f>
        <v>6- WRAP PRM</v>
      </c>
      <c r="H3" s="60" t="str">
        <f>'Scenario List'!$A$9</f>
        <v>7- WRAP PRM No QCC Changes</v>
      </c>
      <c r="I3" s="60" t="str">
        <f>'Scenario List'!$A$10</f>
        <v>8- VERs Assigned to Washington</v>
      </c>
      <c r="J3" s="60" t="str">
        <f>'Scenario List'!$A$11</f>
        <v>9- Low Economic Growth Loads</v>
      </c>
      <c r="K3" s="60" t="str">
        <f>'Scenario List'!$A$12</f>
        <v>10- High Economic Growth Loads</v>
      </c>
      <c r="L3" s="60" t="str">
        <f>'Scenario List'!$A$13</f>
        <v>11- High Electric Vehicle Growth</v>
      </c>
      <c r="M3" s="60" t="str">
        <f>'Scenario List'!$A$14</f>
        <v>12- WA Space/ Water Electrification</v>
      </c>
      <c r="N3" s="60" t="str">
        <f>'Scenario List'!$A$15</f>
        <v>13- WA Space/ Water Electrification w/NG Backup</v>
      </c>
      <c r="O3" s="60" t="str">
        <f>'Scenario List'!$A$16</f>
        <v>14- Combined Electrification</v>
      </c>
      <c r="P3" s="60" t="str">
        <f>'Scenario List'!$A$17</f>
        <v>15- Clean Portfolio by 2045</v>
      </c>
      <c r="Q3" s="125" t="str">
        <f>'Scenario List'!$A$18</f>
        <v>16- Social Cost Included for Idaho</v>
      </c>
      <c r="R3" s="125" t="str">
        <f>'Scenario List'!$A$19</f>
        <v>17- WA Maximum Customer Benefits</v>
      </c>
      <c r="S3" s="60"/>
      <c r="T3" s="60" t="str">
        <f>'Scenario List'!$A$3</f>
        <v>1- Preferred Resource Strategy</v>
      </c>
      <c r="U3" s="60" t="str">
        <f>'Scenario List'!$A$4</f>
        <v>2- Alternative Lowest Reasonable Cost Portfolio</v>
      </c>
      <c r="V3" s="60" t="str">
        <f>'Scenario List'!$A$5</f>
        <v>3- Baseline Portfolio</v>
      </c>
      <c r="W3" s="60" t="str">
        <f>'Scenario List'!$A$6</f>
        <v>4- No Resource Additions</v>
      </c>
      <c r="X3" s="60" t="str">
        <f>'Scenario List'!$A$7</f>
        <v>5- No CETA/ No new NG</v>
      </c>
      <c r="Y3" s="60" t="str">
        <f>'Scenario List'!$A$8</f>
        <v>6- WRAP PRM</v>
      </c>
      <c r="Z3" s="60" t="str">
        <f>'Scenario List'!$A$9</f>
        <v>7- WRAP PRM No QCC Changes</v>
      </c>
      <c r="AA3" s="60" t="str">
        <f>'Scenario List'!$A$10</f>
        <v>8- VERs Assigned to Washington</v>
      </c>
      <c r="AB3" s="60" t="str">
        <f>'Scenario List'!$A$11</f>
        <v>9- Low Economic Growth Loads</v>
      </c>
      <c r="AC3" s="60" t="str">
        <f>'Scenario List'!$A$12</f>
        <v>10- High Economic Growth Loads</v>
      </c>
      <c r="AD3" s="60" t="str">
        <f>'Scenario List'!$A$13</f>
        <v>11- High Electric Vehicle Growth</v>
      </c>
      <c r="AE3" s="60" t="str">
        <f>'Scenario List'!$A$14</f>
        <v>12- WA Space/ Water Electrification</v>
      </c>
      <c r="AF3" s="60" t="str">
        <f>'Scenario List'!$A$15</f>
        <v>13- WA Space/ Water Electrification w/NG Backup</v>
      </c>
      <c r="AG3" s="60" t="str">
        <f>'Scenario List'!$A$16</f>
        <v>14- Combined Electrification</v>
      </c>
      <c r="AH3" s="60" t="str">
        <f>'Scenario List'!$A$17</f>
        <v>15- Clean Portfolio by 2045</v>
      </c>
      <c r="AI3" s="125" t="str">
        <f>'Scenario List'!$A$18</f>
        <v>16- Social Cost Included for Idaho</v>
      </c>
      <c r="AJ3" s="125" t="str">
        <f>'Scenario List'!$A$19</f>
        <v>17- WA Maximum Customer Benefits</v>
      </c>
      <c r="AK3" s="60"/>
      <c r="AL3" s="60"/>
      <c r="AM3" s="60"/>
    </row>
    <row r="4" spans="1:41" s="65" customFormat="1" ht="15" x14ac:dyDescent="0.25">
      <c r="A4" s="65" t="s">
        <v>62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41" x14ac:dyDescent="0.2">
      <c r="A5" s="2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7"/>
      <c r="U5" s="67"/>
      <c r="V5" s="67"/>
      <c r="W5" s="67"/>
      <c r="X5" s="67"/>
      <c r="Y5" s="67"/>
      <c r="Z5" s="67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spans="1:41" x14ac:dyDescent="0.2">
      <c r="A6" s="2">
        <v>2023</v>
      </c>
      <c r="B6" s="66">
        <f>'Summary Data'!D4</f>
        <v>644.35381508278806</v>
      </c>
      <c r="C6" s="66">
        <f>'Summary Data'!D32</f>
        <v>644.10513803436618</v>
      </c>
      <c r="D6" s="66">
        <f>'Summary Data'!D61</f>
        <v>644.35381508280739</v>
      </c>
      <c r="E6" s="66">
        <f>'Summary Data'!D91</f>
        <v>644.35381508278806</v>
      </c>
      <c r="F6" s="66">
        <f>'Summary Data'!D118</f>
        <v>644.35381508280739</v>
      </c>
      <c r="G6" s="66">
        <f>'Summary Data'!D145</f>
        <v>644.35291091889178</v>
      </c>
      <c r="H6" s="66">
        <f>'Summary Data'!D172</f>
        <v>644.35154283410634</v>
      </c>
      <c r="I6" s="66">
        <f>'Summary Data'!D199</f>
        <v>644.35160508989395</v>
      </c>
      <c r="J6" s="66">
        <f>'Summary Data'!D226</f>
        <v>644.35381508278806</v>
      </c>
      <c r="K6" s="66">
        <f>'Summary Data'!D253</f>
        <v>644.35381508278806</v>
      </c>
      <c r="L6" s="66">
        <f>'Summary Data'!D280</f>
        <v>644.31806124934997</v>
      </c>
      <c r="M6" s="66">
        <f>'Summary Data'!D307</f>
        <v>645.78671770949643</v>
      </c>
      <c r="N6" s="66">
        <f>'Summary Data'!D334</f>
        <v>645.32921764602452</v>
      </c>
      <c r="O6" s="66">
        <f>'Summary Data'!D361</f>
        <v>645.757430141653</v>
      </c>
      <c r="P6" s="66">
        <f>'Summary Data'!D388</f>
        <v>644.35154495724316</v>
      </c>
      <c r="Q6" s="66">
        <f>'Summary Data'!D415</f>
        <v>646.41369647857209</v>
      </c>
      <c r="R6" s="66">
        <f>'Summary Data'!D442</f>
        <v>644.49443759057522</v>
      </c>
      <c r="S6" s="66"/>
      <c r="T6" s="67">
        <f>'Summary Data'!E4</f>
        <v>316.40239455462665</v>
      </c>
      <c r="U6" s="67">
        <f>'Summary Data'!E32</f>
        <v>316.40463157350325</v>
      </c>
      <c r="V6" s="67">
        <f>'Summary Data'!E61</f>
        <v>316.40239455462665</v>
      </c>
      <c r="W6" s="67">
        <f>'Summary Data'!E91</f>
        <v>316.40239455462665</v>
      </c>
      <c r="X6" s="67">
        <f>'Summary Data'!E118</f>
        <v>316.40239455462665</v>
      </c>
      <c r="Y6" s="67">
        <f>'Summary Data'!E145</f>
        <v>316.40176282327144</v>
      </c>
      <c r="Z6" s="67">
        <f>'Summary Data'!E172</f>
        <v>316.40138009082034</v>
      </c>
      <c r="AA6" s="68">
        <f>'Summary Data'!E199</f>
        <v>316.40175914469444</v>
      </c>
      <c r="AB6" s="68">
        <f>'Summary Data'!E226</f>
        <v>316.40239455462665</v>
      </c>
      <c r="AC6" s="68">
        <f>'Summary Data'!E253</f>
        <v>316.40239455462665</v>
      </c>
      <c r="AD6" s="68">
        <f>'Summary Data'!E280</f>
        <v>316.36452062592934</v>
      </c>
      <c r="AE6" s="68">
        <f>'Summary Data'!E307</f>
        <v>316.36080964867438</v>
      </c>
      <c r="AF6" s="68">
        <f>'Summary Data'!E334</f>
        <v>316.37152574802883</v>
      </c>
      <c r="AG6" s="68">
        <f>'Summary Data'!E361</f>
        <v>316.34636312857168</v>
      </c>
      <c r="AH6" s="68">
        <f>'Summary Data'!E388</f>
        <v>316.40508989059435</v>
      </c>
      <c r="AI6" s="68">
        <f>'Summary Data'!E415</f>
        <v>314.17373061702062</v>
      </c>
      <c r="AJ6" s="68">
        <f>'Summary Data'!E442</f>
        <v>316.40458518431723</v>
      </c>
      <c r="AK6" s="68"/>
      <c r="AL6" s="68"/>
      <c r="AM6" s="68"/>
      <c r="AN6" s="68"/>
      <c r="AO6" s="68"/>
    </row>
    <row r="7" spans="1:41" x14ac:dyDescent="0.2">
      <c r="A7" s="2">
        <v>2024</v>
      </c>
      <c r="B7" s="66">
        <f>'Summary Data'!D5</f>
        <v>657.51430162498752</v>
      </c>
      <c r="C7" s="66">
        <f>'Summary Data'!D33</f>
        <v>656.95299006866878</v>
      </c>
      <c r="D7" s="66">
        <f>'Summary Data'!D62</f>
        <v>657.52126750815364</v>
      </c>
      <c r="E7" s="66">
        <f>'Summary Data'!D92</f>
        <v>657.52126750811317</v>
      </c>
      <c r="F7" s="66">
        <f>'Summary Data'!D119</f>
        <v>657.52126750815364</v>
      </c>
      <c r="G7" s="66">
        <f>'Summary Data'!D146</f>
        <v>657.51368728398438</v>
      </c>
      <c r="H7" s="66">
        <f>'Summary Data'!D173</f>
        <v>657.51189946903094</v>
      </c>
      <c r="I7" s="66">
        <f>'Summary Data'!D200</f>
        <v>657.5119970863401</v>
      </c>
      <c r="J7" s="66">
        <f>'Summary Data'!D227</f>
        <v>657.51430162498752</v>
      </c>
      <c r="K7" s="66">
        <f>'Summary Data'!D254</f>
        <v>657.51430158967173</v>
      </c>
      <c r="L7" s="66">
        <f>'Summary Data'!D281</f>
        <v>657.51128222247837</v>
      </c>
      <c r="M7" s="66">
        <f>'Summary Data'!D308</f>
        <v>658.81007602679551</v>
      </c>
      <c r="N7" s="66">
        <f>'Summary Data'!D335</f>
        <v>658.23383544073113</v>
      </c>
      <c r="O7" s="66">
        <f>'Summary Data'!D362</f>
        <v>658.7210095828932</v>
      </c>
      <c r="P7" s="66">
        <f>'Summary Data'!D389</f>
        <v>657.51202923951519</v>
      </c>
      <c r="Q7" s="66">
        <f>'Summary Data'!D416</f>
        <v>659.64786788083006</v>
      </c>
      <c r="R7" s="66">
        <f>'Summary Data'!D443</f>
        <v>658.02308115257938</v>
      </c>
      <c r="S7" s="66"/>
      <c r="T7" s="67">
        <f>'Summary Data'!E5</f>
        <v>322.02778395152842</v>
      </c>
      <c r="U7" s="67">
        <f>'Summary Data'!E33</f>
        <v>322.03819262241581</v>
      </c>
      <c r="V7" s="67">
        <f>'Summary Data'!E62</f>
        <v>322.0262781898258</v>
      </c>
      <c r="W7" s="67">
        <f>'Summary Data'!E92</f>
        <v>322.0262781898258</v>
      </c>
      <c r="X7" s="67">
        <f>'Summary Data'!E119</f>
        <v>322.0262781898258</v>
      </c>
      <c r="Y7" s="67">
        <f>'Summary Data'!E146</f>
        <v>322.02696738441176</v>
      </c>
      <c r="Z7" s="67">
        <f>'Summary Data'!E173</f>
        <v>322.02624778967458</v>
      </c>
      <c r="AA7" s="68">
        <f>'Summary Data'!E200</f>
        <v>322.02690029293905</v>
      </c>
      <c r="AB7" s="68">
        <f>'Summary Data'!E227</f>
        <v>322.02778395152842</v>
      </c>
      <c r="AC7" s="68">
        <f>'Summary Data'!E254</f>
        <v>322.02778395916238</v>
      </c>
      <c r="AD7" s="68">
        <f>'Summary Data'!E281</f>
        <v>322.00785650280835</v>
      </c>
      <c r="AE7" s="68">
        <f>'Summary Data'!E308</f>
        <v>322.00454186604082</v>
      </c>
      <c r="AF7" s="68">
        <f>'Summary Data'!E335</f>
        <v>322.01450783405977</v>
      </c>
      <c r="AG7" s="68">
        <f>'Summary Data'!E362</f>
        <v>322.01574847421551</v>
      </c>
      <c r="AH7" s="68">
        <f>'Summary Data'!E389</f>
        <v>322.04636416512665</v>
      </c>
      <c r="AI7" s="68">
        <f>'Summary Data'!E416</f>
        <v>319.7179936006803</v>
      </c>
      <c r="AJ7" s="68">
        <f>'Summary Data'!E443</f>
        <v>322.03131244401999</v>
      </c>
      <c r="AK7" s="68"/>
      <c r="AL7" s="68"/>
      <c r="AM7" s="68"/>
      <c r="AN7" s="68"/>
      <c r="AO7" s="68"/>
    </row>
    <row r="8" spans="1:41" x14ac:dyDescent="0.2">
      <c r="A8" s="2">
        <v>2025</v>
      </c>
      <c r="B8" s="66">
        <f>'Summary Data'!D6</f>
        <v>681.54533740636134</v>
      </c>
      <c r="C8" s="66">
        <f>'Summary Data'!D34</f>
        <v>680.58351473498999</v>
      </c>
      <c r="D8" s="66">
        <f>'Summary Data'!D63</f>
        <v>681.54403989081572</v>
      </c>
      <c r="E8" s="66">
        <f>'Summary Data'!D93</f>
        <v>681.11245994322962</v>
      </c>
      <c r="F8" s="66">
        <f>'Summary Data'!D120</f>
        <v>681.54403989081572</v>
      </c>
      <c r="G8" s="66">
        <f>'Summary Data'!D147</f>
        <v>681.54791644745376</v>
      </c>
      <c r="H8" s="66">
        <f>'Summary Data'!D174</f>
        <v>681.54812751085524</v>
      </c>
      <c r="I8" s="66">
        <f>'Summary Data'!D201</f>
        <v>681.54779214225039</v>
      </c>
      <c r="J8" s="66">
        <f>'Summary Data'!D228</f>
        <v>681.54533740636134</v>
      </c>
      <c r="K8" s="66">
        <f>'Summary Data'!D255</f>
        <v>681.54533740831744</v>
      </c>
      <c r="L8" s="66">
        <f>'Summary Data'!D282</f>
        <v>681.54087703626215</v>
      </c>
      <c r="M8" s="66">
        <f>'Summary Data'!D309</f>
        <v>682.74105669652647</v>
      </c>
      <c r="N8" s="66">
        <f>'Summary Data'!D336</f>
        <v>682.11714662324994</v>
      </c>
      <c r="O8" s="66">
        <f>'Summary Data'!D363</f>
        <v>682.60286752580203</v>
      </c>
      <c r="P8" s="66">
        <f>'Summary Data'!D390</f>
        <v>681.54802841538776</v>
      </c>
      <c r="Q8" s="66">
        <f>'Summary Data'!D417</f>
        <v>683.67605448802249</v>
      </c>
      <c r="R8" s="66">
        <f>'Summary Data'!D444</f>
        <v>682.49203484749728</v>
      </c>
      <c r="S8" s="66"/>
      <c r="T8" s="67">
        <f>'Summary Data'!E6</f>
        <v>329.72969720414318</v>
      </c>
      <c r="U8" s="67">
        <f>'Summary Data'!E34</f>
        <v>329.72191937925635</v>
      </c>
      <c r="V8" s="67">
        <f>'Summary Data'!E63</f>
        <v>329.72659250990256</v>
      </c>
      <c r="W8" s="67">
        <f>'Summary Data'!E93</f>
        <v>329.72659250990256</v>
      </c>
      <c r="X8" s="67">
        <f>'Summary Data'!E120</f>
        <v>329.72659250990256</v>
      </c>
      <c r="Y8" s="67">
        <f>'Summary Data'!E147</f>
        <v>329.72959368080751</v>
      </c>
      <c r="Z8" s="67">
        <f>'Summary Data'!E174</f>
        <v>329.72879500916412</v>
      </c>
      <c r="AA8" s="68">
        <f>'Summary Data'!E201</f>
        <v>329.72926423850487</v>
      </c>
      <c r="AB8" s="68">
        <f>'Summary Data'!E228</f>
        <v>329.72969720414318</v>
      </c>
      <c r="AC8" s="68">
        <f>'Summary Data'!E255</f>
        <v>329.72969721179288</v>
      </c>
      <c r="AD8" s="68">
        <f>'Summary Data'!E282</f>
        <v>329.70226267621518</v>
      </c>
      <c r="AE8" s="68">
        <f>'Summary Data'!E309</f>
        <v>329.69585183654658</v>
      </c>
      <c r="AF8" s="68">
        <f>'Summary Data'!E336</f>
        <v>329.71729863607231</v>
      </c>
      <c r="AG8" s="68">
        <f>'Summary Data'!E363</f>
        <v>329.69101324715194</v>
      </c>
      <c r="AH8" s="68">
        <f>'Summary Data'!E390</f>
        <v>329.74900038486419</v>
      </c>
      <c r="AI8" s="68">
        <f>'Summary Data'!E417</f>
        <v>327.42356834150473</v>
      </c>
      <c r="AJ8" s="68">
        <f>'Summary Data'!E444</f>
        <v>329.7432381106409</v>
      </c>
      <c r="AK8" s="68"/>
      <c r="AL8" s="68"/>
      <c r="AM8" s="68"/>
      <c r="AN8" s="68"/>
      <c r="AO8" s="68"/>
    </row>
    <row r="9" spans="1:41" x14ac:dyDescent="0.2">
      <c r="A9" s="2">
        <v>2026</v>
      </c>
      <c r="B9" s="66">
        <f>'Summary Data'!D7</f>
        <v>690.74075559956827</v>
      </c>
      <c r="C9" s="66">
        <f>'Summary Data'!D35</f>
        <v>689.31026332150327</v>
      </c>
      <c r="D9" s="66">
        <f>'Summary Data'!D64</f>
        <v>690.72676458959779</v>
      </c>
      <c r="E9" s="66">
        <f>'Summary Data'!D94</f>
        <v>690.3557987479594</v>
      </c>
      <c r="F9" s="66">
        <f>'Summary Data'!D121</f>
        <v>690.72676458959779</v>
      </c>
      <c r="G9" s="66">
        <f>'Summary Data'!D148</f>
        <v>690.74689313140925</v>
      </c>
      <c r="H9" s="66">
        <f>'Summary Data'!D175</f>
        <v>690.75097754044361</v>
      </c>
      <c r="I9" s="66">
        <f>'Summary Data'!D202</f>
        <v>691.53795989081175</v>
      </c>
      <c r="J9" s="66">
        <f>'Summary Data'!D229</f>
        <v>690.74075559956827</v>
      </c>
      <c r="K9" s="66">
        <f>'Summary Data'!D256</f>
        <v>690.74075561984114</v>
      </c>
      <c r="L9" s="66">
        <f>'Summary Data'!D283</f>
        <v>690.72513757404477</v>
      </c>
      <c r="M9" s="66">
        <f>'Summary Data'!D310</f>
        <v>692.33965961652052</v>
      </c>
      <c r="N9" s="66">
        <f>'Summary Data'!D337</f>
        <v>691.45622841825343</v>
      </c>
      <c r="O9" s="66">
        <f>'Summary Data'!D364</f>
        <v>692.1601876990353</v>
      </c>
      <c r="P9" s="66">
        <f>'Summary Data'!D391</f>
        <v>690.89537487738744</v>
      </c>
      <c r="Q9" s="66">
        <f>'Summary Data'!D418</f>
        <v>693.02863795553571</v>
      </c>
      <c r="R9" s="66">
        <f>'Summary Data'!D445</f>
        <v>692.15232977248513</v>
      </c>
      <c r="S9" s="66"/>
      <c r="T9" s="67">
        <f>'Summary Data'!E7</f>
        <v>339.81368525530127</v>
      </c>
      <c r="U9" s="67">
        <f>'Summary Data'!E35</f>
        <v>339.80770188471081</v>
      </c>
      <c r="V9" s="67">
        <f>'Summary Data'!E64</f>
        <v>339.8088836834113</v>
      </c>
      <c r="W9" s="67">
        <f>'Summary Data'!E94</f>
        <v>339.8088836834113</v>
      </c>
      <c r="X9" s="67">
        <f>'Summary Data'!E121</f>
        <v>339.8088836834113</v>
      </c>
      <c r="Y9" s="67">
        <f>'Summary Data'!E148</f>
        <v>339.8144603627203</v>
      </c>
      <c r="Z9" s="67">
        <f>'Summary Data'!E175</f>
        <v>339.81351475311271</v>
      </c>
      <c r="AA9" s="68">
        <f>'Summary Data'!E202</f>
        <v>346.27415483732653</v>
      </c>
      <c r="AB9" s="68">
        <f>'Summary Data'!E229</f>
        <v>339.81368525530127</v>
      </c>
      <c r="AC9" s="68">
        <f>'Summary Data'!E256</f>
        <v>339.8136852629529</v>
      </c>
      <c r="AD9" s="68">
        <f>'Summary Data'!E283</f>
        <v>339.77167077992488</v>
      </c>
      <c r="AE9" s="68">
        <f>'Summary Data'!E310</f>
        <v>339.86733598501644</v>
      </c>
      <c r="AF9" s="68">
        <f>'Summary Data'!E337</f>
        <v>339.84198004164693</v>
      </c>
      <c r="AG9" s="68">
        <f>'Summary Data'!E364</f>
        <v>339.87908598941408</v>
      </c>
      <c r="AH9" s="68">
        <f>'Summary Data'!E391</f>
        <v>339.70159326759665</v>
      </c>
      <c r="AI9" s="68">
        <f>'Summary Data'!E418</f>
        <v>337.33785559528025</v>
      </c>
      <c r="AJ9" s="68">
        <f>'Summary Data'!E445</f>
        <v>339.83500193063821</v>
      </c>
      <c r="AK9" s="68"/>
      <c r="AL9" s="68"/>
      <c r="AM9" s="68"/>
      <c r="AN9" s="68"/>
      <c r="AO9" s="68"/>
    </row>
    <row r="10" spans="1:41" x14ac:dyDescent="0.2">
      <c r="A10" s="2">
        <v>2027</v>
      </c>
      <c r="B10" s="66">
        <f>'Summary Data'!D8</f>
        <v>710.4530822144585</v>
      </c>
      <c r="C10" s="66">
        <f>'Summary Data'!D36</f>
        <v>708.47677315135297</v>
      </c>
      <c r="D10" s="66">
        <f>'Summary Data'!D65</f>
        <v>710.41237933184425</v>
      </c>
      <c r="E10" s="66">
        <f>'Summary Data'!D95</f>
        <v>710.15179905431205</v>
      </c>
      <c r="F10" s="66">
        <f>'Summary Data'!D122</f>
        <v>710.41237933184425</v>
      </c>
      <c r="G10" s="66">
        <f>'Summary Data'!D149</f>
        <v>710.46533679613856</v>
      </c>
      <c r="H10" s="66">
        <f>'Summary Data'!D176</f>
        <v>710.47789631270825</v>
      </c>
      <c r="I10" s="66">
        <f>'Summary Data'!D203</f>
        <v>711.26237520661005</v>
      </c>
      <c r="J10" s="66">
        <f>'Summary Data'!D230</f>
        <v>709.04180964882585</v>
      </c>
      <c r="K10" s="66">
        <f>'Summary Data'!D257</f>
        <v>709.98750363637077</v>
      </c>
      <c r="L10" s="66">
        <f>'Summary Data'!D284</f>
        <v>710.44181369106491</v>
      </c>
      <c r="M10" s="66">
        <f>'Summary Data'!D311</f>
        <v>712.52974544472795</v>
      </c>
      <c r="N10" s="66">
        <f>'Summary Data'!D338</f>
        <v>711.4455983353788</v>
      </c>
      <c r="O10" s="66">
        <f>'Summary Data'!D365</f>
        <v>712.32316981781764</v>
      </c>
      <c r="P10" s="66">
        <f>'Summary Data'!D392</f>
        <v>710.4750677919825</v>
      </c>
      <c r="Q10" s="66">
        <f>'Summary Data'!D419</f>
        <v>711.02909815011503</v>
      </c>
      <c r="R10" s="66">
        <f>'Summary Data'!D446</f>
        <v>712.34925149759204</v>
      </c>
      <c r="S10" s="66"/>
      <c r="T10" s="67">
        <f>'Summary Data'!E8</f>
        <v>344.01571471426701</v>
      </c>
      <c r="U10" s="67">
        <f>'Summary Data'!E36</f>
        <v>344.01618701669406</v>
      </c>
      <c r="V10" s="67">
        <f>'Summary Data'!E65</f>
        <v>344.00910846396107</v>
      </c>
      <c r="W10" s="67">
        <f>'Summary Data'!E95</f>
        <v>344.00910846396107</v>
      </c>
      <c r="X10" s="67">
        <f>'Summary Data'!E122</f>
        <v>344.00910846396107</v>
      </c>
      <c r="Y10" s="67">
        <f>'Summary Data'!E149</f>
        <v>344.01817182204087</v>
      </c>
      <c r="Z10" s="67">
        <f>'Summary Data'!E176</f>
        <v>344.01733560975788</v>
      </c>
      <c r="AA10" s="68">
        <f>'Summary Data'!E203</f>
        <v>350.33649674478875</v>
      </c>
      <c r="AB10" s="68">
        <f>'Summary Data'!E230</f>
        <v>343.48321166195529</v>
      </c>
      <c r="AC10" s="68">
        <f>'Summary Data'!E257</f>
        <v>344.66573200815139</v>
      </c>
      <c r="AD10" s="68">
        <f>'Summary Data'!E284</f>
        <v>343.96585510160276</v>
      </c>
      <c r="AE10" s="68">
        <f>'Summary Data'!E311</f>
        <v>344.10913986433638</v>
      </c>
      <c r="AF10" s="68">
        <f>'Summary Data'!E338</f>
        <v>344.0723819690312</v>
      </c>
      <c r="AG10" s="68">
        <f>'Summary Data'!E365</f>
        <v>344.13979284478319</v>
      </c>
      <c r="AH10" s="68">
        <f>'Summary Data'!E392</f>
        <v>344.10312922899328</v>
      </c>
      <c r="AI10" s="68">
        <f>'Summary Data'!E419</f>
        <v>343.39108960014477</v>
      </c>
      <c r="AJ10" s="68">
        <f>'Summary Data'!E446</f>
        <v>344.04245538788246</v>
      </c>
      <c r="AK10" s="68"/>
      <c r="AL10" s="68"/>
      <c r="AM10" s="68"/>
      <c r="AN10" s="68"/>
      <c r="AO10" s="68"/>
    </row>
    <row r="11" spans="1:41" x14ac:dyDescent="0.2">
      <c r="A11" s="2">
        <v>2028</v>
      </c>
      <c r="B11" s="66">
        <f>'Summary Data'!D9</f>
        <v>737.28306675060855</v>
      </c>
      <c r="C11" s="66">
        <f>'Summary Data'!D37</f>
        <v>734.69337946383075</v>
      </c>
      <c r="D11" s="66">
        <f>'Summary Data'!D66</f>
        <v>737.22022719768745</v>
      </c>
      <c r="E11" s="66">
        <f>'Summary Data'!D96</f>
        <v>737.00556058933216</v>
      </c>
      <c r="F11" s="66">
        <f>'Summary Data'!D123</f>
        <v>737.22022719768745</v>
      </c>
      <c r="G11" s="66">
        <f>'Summary Data'!D150</f>
        <v>737.30031047823775</v>
      </c>
      <c r="H11" s="66">
        <f>'Summary Data'!D177</f>
        <v>737.32304147149762</v>
      </c>
      <c r="I11" s="66">
        <f>'Summary Data'!D204</f>
        <v>738.10399895069907</v>
      </c>
      <c r="J11" s="66">
        <f>'Summary Data'!D231</f>
        <v>735.38501219852412</v>
      </c>
      <c r="K11" s="66">
        <f>'Summary Data'!D258</f>
        <v>737.26973073837632</v>
      </c>
      <c r="L11" s="66">
        <f>'Summary Data'!D285</f>
        <v>737.27797124745223</v>
      </c>
      <c r="M11" s="66">
        <f>'Summary Data'!D312</f>
        <v>740.3452432363074</v>
      </c>
      <c r="N11" s="66">
        <f>'Summary Data'!D339</f>
        <v>738.84509360696006</v>
      </c>
      <c r="O11" s="66">
        <f>'Summary Data'!D366</f>
        <v>740.06209717666673</v>
      </c>
      <c r="P11" s="66">
        <f>'Summary Data'!D393</f>
        <v>737.31753648902827</v>
      </c>
      <c r="Q11" s="66">
        <f>'Summary Data'!D420</f>
        <v>737.9806737145658</v>
      </c>
      <c r="R11" s="66">
        <f>'Summary Data'!D447</f>
        <v>739.61646894900684</v>
      </c>
      <c r="S11" s="66"/>
      <c r="T11" s="67">
        <f>'Summary Data'!E9</f>
        <v>352.77126358386579</v>
      </c>
      <c r="U11" s="67">
        <f>'Summary Data'!E37</f>
        <v>352.77401539955633</v>
      </c>
      <c r="V11" s="67">
        <f>'Summary Data'!E66</f>
        <v>352.7627341802102</v>
      </c>
      <c r="W11" s="67">
        <f>'Summary Data'!E96</f>
        <v>352.7627341802102</v>
      </c>
      <c r="X11" s="67">
        <f>'Summary Data'!E123</f>
        <v>352.7627341802102</v>
      </c>
      <c r="Y11" s="67">
        <f>'Summary Data'!E150</f>
        <v>352.77531257186638</v>
      </c>
      <c r="Z11" s="67">
        <f>'Summary Data'!E177</f>
        <v>352.77427040883867</v>
      </c>
      <c r="AA11" s="68">
        <f>'Summary Data'!E204</f>
        <v>358.9083520506797</v>
      </c>
      <c r="AB11" s="68">
        <f>'Summary Data'!E231</f>
        <v>351.68678985637712</v>
      </c>
      <c r="AC11" s="68">
        <f>'Summary Data'!E258</f>
        <v>353.97398255182691</v>
      </c>
      <c r="AD11" s="68">
        <f>'Summary Data'!E285</f>
        <v>352.71010414601602</v>
      </c>
      <c r="AE11" s="68">
        <f>'Summary Data'!E312</f>
        <v>352.92213262464821</v>
      </c>
      <c r="AF11" s="68">
        <f>'Summary Data'!E339</f>
        <v>352.86351196783659</v>
      </c>
      <c r="AG11" s="68">
        <f>'Summary Data'!E366</f>
        <v>352.97073926478447</v>
      </c>
      <c r="AH11" s="68">
        <f>'Summary Data'!E393</f>
        <v>352.89420147610531</v>
      </c>
      <c r="AI11" s="68">
        <f>'Summary Data'!E420</f>
        <v>352.01460815877624</v>
      </c>
      <c r="AJ11" s="68">
        <f>'Summary Data'!E447</f>
        <v>352.80562655655126</v>
      </c>
      <c r="AK11" s="68"/>
      <c r="AL11" s="68"/>
      <c r="AM11" s="68"/>
      <c r="AN11" s="68"/>
      <c r="AO11" s="68"/>
    </row>
    <row r="12" spans="1:41" x14ac:dyDescent="0.2">
      <c r="A12" s="2">
        <v>2029</v>
      </c>
      <c r="B12" s="66">
        <f>'Summary Data'!D10</f>
        <v>762.42702552223614</v>
      </c>
      <c r="C12" s="66">
        <f>'Summary Data'!D38</f>
        <v>759.18915845799688</v>
      </c>
      <c r="D12" s="66">
        <f>'Summary Data'!D67</f>
        <v>762.34248170724823</v>
      </c>
      <c r="E12" s="66">
        <f>'Summary Data'!D97</f>
        <v>762.16335695414818</v>
      </c>
      <c r="F12" s="66">
        <f>'Summary Data'!D124</f>
        <v>762.34248170724823</v>
      </c>
      <c r="G12" s="66">
        <f>'Summary Data'!D151</f>
        <v>762.45031511507636</v>
      </c>
      <c r="H12" s="66">
        <f>'Summary Data'!D178</f>
        <v>762.48732903144196</v>
      </c>
      <c r="I12" s="66">
        <f>'Summary Data'!D205</f>
        <v>763.26316461860324</v>
      </c>
      <c r="J12" s="66">
        <f>'Summary Data'!D232</f>
        <v>760.05261376022622</v>
      </c>
      <c r="K12" s="66">
        <f>'Summary Data'!D259</f>
        <v>762.86605430966301</v>
      </c>
      <c r="L12" s="66">
        <f>'Summary Data'!D286</f>
        <v>762.41849423759027</v>
      </c>
      <c r="M12" s="66">
        <f>'Summary Data'!D313</f>
        <v>766.77031815823807</v>
      </c>
      <c r="N12" s="66">
        <f>'Summary Data'!D340</f>
        <v>764.78896865089075</v>
      </c>
      <c r="O12" s="66">
        <f>'Summary Data'!D367</f>
        <v>766.33639103033659</v>
      </c>
      <c r="P12" s="66">
        <f>'Summary Data'!D394</f>
        <v>762.47852626239205</v>
      </c>
      <c r="Q12" s="66">
        <f>'Summary Data'!D421</f>
        <v>763.17927823793241</v>
      </c>
      <c r="R12" s="66">
        <f>'Summary Data'!D448</f>
        <v>765.2070676548143</v>
      </c>
      <c r="S12" s="66"/>
      <c r="T12" s="67">
        <f>'Summary Data'!E10</f>
        <v>363.62173600816277</v>
      </c>
      <c r="U12" s="67">
        <f>'Summary Data'!E38</f>
        <v>363.62854422802081</v>
      </c>
      <c r="V12" s="67">
        <f>'Summary Data'!E67</f>
        <v>363.61117074422299</v>
      </c>
      <c r="W12" s="67">
        <f>'Summary Data'!E97</f>
        <v>363.61117074422299</v>
      </c>
      <c r="X12" s="67">
        <f>'Summary Data'!E124</f>
        <v>363.61117074422299</v>
      </c>
      <c r="Y12" s="67">
        <f>'Summary Data'!E151</f>
        <v>363.62796523678958</v>
      </c>
      <c r="Z12" s="67">
        <f>'Summary Data'!E178</f>
        <v>363.62677897612434</v>
      </c>
      <c r="AA12" s="68">
        <f>'Summary Data'!E205</f>
        <v>369.72254345730403</v>
      </c>
      <c r="AB12" s="68">
        <f>'Summary Data'!E232</f>
        <v>361.97938198055431</v>
      </c>
      <c r="AC12" s="68">
        <f>'Summary Data'!E259</f>
        <v>365.73346554187168</v>
      </c>
      <c r="AD12" s="68">
        <f>'Summary Data'!E286</f>
        <v>363.5300390004096</v>
      </c>
      <c r="AE12" s="68">
        <f>'Summary Data'!E313</f>
        <v>363.76344352871416</v>
      </c>
      <c r="AF12" s="68">
        <f>'Summary Data'!E340</f>
        <v>363.7418498147353</v>
      </c>
      <c r="AG12" s="68">
        <f>'Summary Data'!E367</f>
        <v>363.88019772215307</v>
      </c>
      <c r="AH12" s="68">
        <f>'Summary Data'!E394</f>
        <v>363.78673696118528</v>
      </c>
      <c r="AI12" s="68">
        <f>'Summary Data'!E421</f>
        <v>362.8051735923566</v>
      </c>
      <c r="AJ12" s="68">
        <f>'Summary Data'!E448</f>
        <v>363.66491291636237</v>
      </c>
      <c r="AK12" s="68"/>
      <c r="AL12" s="68"/>
      <c r="AM12" s="68"/>
      <c r="AN12" s="68"/>
      <c r="AO12" s="68"/>
    </row>
    <row r="13" spans="1:41" x14ac:dyDescent="0.2">
      <c r="A13" s="2">
        <v>2030</v>
      </c>
      <c r="B13" s="66">
        <f>'Summary Data'!D11</f>
        <v>788.63083806091254</v>
      </c>
      <c r="C13" s="66">
        <f>'Summary Data'!D39</f>
        <v>784.75946742180122</v>
      </c>
      <c r="D13" s="66">
        <f>'Summary Data'!D68</f>
        <v>788.54018016877046</v>
      </c>
      <c r="E13" s="66">
        <f>'Summary Data'!D98</f>
        <v>788.638970869383</v>
      </c>
      <c r="F13" s="66">
        <f>'Summary Data'!D125</f>
        <v>788.54018016877046</v>
      </c>
      <c r="G13" s="66">
        <f>'Summary Data'!D152</f>
        <v>788.6522316606538</v>
      </c>
      <c r="H13" s="66">
        <f>'Summary Data'!D179</f>
        <v>788.69701282556821</v>
      </c>
      <c r="I13" s="66">
        <f>'Summary Data'!D206</f>
        <v>789.46885697447885</v>
      </c>
      <c r="J13" s="66">
        <f>'Summary Data'!D233</f>
        <v>785.35520396391234</v>
      </c>
      <c r="K13" s="66">
        <f>'Summary Data'!D260</f>
        <v>789.64980372437742</v>
      </c>
      <c r="L13" s="66">
        <f>'Summary Data'!D287</f>
        <v>788.6985505390154</v>
      </c>
      <c r="M13" s="66">
        <f>'Summary Data'!D314</f>
        <v>796.21856827472379</v>
      </c>
      <c r="N13" s="66">
        <f>'Summary Data'!D341</f>
        <v>792.57062925374726</v>
      </c>
      <c r="O13" s="66">
        <f>'Summary Data'!D368</f>
        <v>795.59312632050046</v>
      </c>
      <c r="P13" s="66">
        <f>'Summary Data'!D395</f>
        <v>788.68523021262979</v>
      </c>
      <c r="Q13" s="66">
        <f>'Summary Data'!D422</f>
        <v>789.38706752831126</v>
      </c>
      <c r="R13" s="66">
        <f>'Summary Data'!D449</f>
        <v>791.7168167529145</v>
      </c>
      <c r="S13" s="66"/>
      <c r="T13" s="67">
        <f>'Summary Data'!E11</f>
        <v>375.05481195568547</v>
      </c>
      <c r="U13" s="67">
        <f>'Summary Data'!E39</f>
        <v>375.08087679804601</v>
      </c>
      <c r="V13" s="67">
        <f>'Summary Data'!E68</f>
        <v>375.04209687459297</v>
      </c>
      <c r="W13" s="67">
        <f>'Summary Data'!E98</f>
        <v>374.82646926296536</v>
      </c>
      <c r="X13" s="67">
        <f>'Summary Data'!E125</f>
        <v>375.04209687459297</v>
      </c>
      <c r="Y13" s="67">
        <f>'Summary Data'!E152</f>
        <v>375.06144493651459</v>
      </c>
      <c r="Z13" s="67">
        <f>'Summary Data'!E179</f>
        <v>375.05887737043668</v>
      </c>
      <c r="AA13" s="68">
        <f>'Summary Data'!E206</f>
        <v>380.68668463236884</v>
      </c>
      <c r="AB13" s="68">
        <f>'Summary Data'!E233</f>
        <v>372.51391291563095</v>
      </c>
      <c r="AC13" s="68">
        <f>'Summary Data'!E260</f>
        <v>378.08795151763439</v>
      </c>
      <c r="AD13" s="68">
        <f>'Summary Data'!E287</f>
        <v>374.96374222756435</v>
      </c>
      <c r="AE13" s="68">
        <f>'Summary Data'!E314</f>
        <v>375.17295108647795</v>
      </c>
      <c r="AF13" s="68">
        <f>'Summary Data'!E341</f>
        <v>375.1970650880188</v>
      </c>
      <c r="AG13" s="68">
        <f>'Summary Data'!E368</f>
        <v>375.27943510488313</v>
      </c>
      <c r="AH13" s="68">
        <f>'Summary Data'!E395</f>
        <v>375.25654401722466</v>
      </c>
      <c r="AI13" s="68">
        <f>'Summary Data'!E422</f>
        <v>374.22836228461358</v>
      </c>
      <c r="AJ13" s="68">
        <f>'Summary Data'!E449</f>
        <v>375.11166349750528</v>
      </c>
      <c r="AK13" s="68"/>
      <c r="AL13" s="68"/>
      <c r="AM13" s="68"/>
      <c r="AN13" s="68"/>
      <c r="AO13" s="68"/>
    </row>
    <row r="14" spans="1:41" x14ac:dyDescent="0.2">
      <c r="A14" s="2">
        <v>2031</v>
      </c>
      <c r="B14" s="66">
        <f>'Summary Data'!D12</f>
        <v>823.58036613404056</v>
      </c>
      <c r="C14" s="66">
        <f>'Summary Data'!D40</f>
        <v>819.07088819241369</v>
      </c>
      <c r="D14" s="66">
        <f>'Summary Data'!D69</f>
        <v>823.443593078498</v>
      </c>
      <c r="E14" s="66">
        <f>'Summary Data'!D99</f>
        <v>822.19614654166196</v>
      </c>
      <c r="F14" s="66">
        <f>'Summary Data'!D126</f>
        <v>823.443593078498</v>
      </c>
      <c r="G14" s="66">
        <f>'Summary Data'!D153</f>
        <v>823.61234551355403</v>
      </c>
      <c r="H14" s="66">
        <f>'Summary Data'!D180</f>
        <v>823.68105424238172</v>
      </c>
      <c r="I14" s="66">
        <f>'Summary Data'!D207</f>
        <v>824.44150655722751</v>
      </c>
      <c r="J14" s="66">
        <f>'Summary Data'!D234</f>
        <v>819.96499712888055</v>
      </c>
      <c r="K14" s="66">
        <f>'Summary Data'!D261</f>
        <v>825.03199450564819</v>
      </c>
      <c r="L14" s="66">
        <f>'Summary Data'!D288</f>
        <v>823.96465387160572</v>
      </c>
      <c r="M14" s="66">
        <f>'Summary Data'!D315</f>
        <v>839.86669452326942</v>
      </c>
      <c r="N14" s="66">
        <f>'Summary Data'!D342</f>
        <v>833.41818128705108</v>
      </c>
      <c r="O14" s="66">
        <f>'Summary Data'!D369</f>
        <v>840.00804184550657</v>
      </c>
      <c r="P14" s="66">
        <f>'Summary Data'!D396</f>
        <v>823.6657495261943</v>
      </c>
      <c r="Q14" s="66">
        <f>'Summary Data'!D423</f>
        <v>824.53010086531276</v>
      </c>
      <c r="R14" s="66">
        <f>'Summary Data'!D450</f>
        <v>827.0940511926658</v>
      </c>
      <c r="S14" s="66"/>
      <c r="T14" s="67">
        <f>'Summary Data'!E12</f>
        <v>389.24788586440877</v>
      </c>
      <c r="U14" s="67">
        <f>'Summary Data'!E40</f>
        <v>389.29336339380723</v>
      </c>
      <c r="V14" s="67">
        <f>'Summary Data'!E69</f>
        <v>389.77902053754934</v>
      </c>
      <c r="W14" s="67">
        <f>'Summary Data'!E99</f>
        <v>389.01725650148046</v>
      </c>
      <c r="X14" s="67">
        <f>'Summary Data'!E126</f>
        <v>389.23288411310796</v>
      </c>
      <c r="Y14" s="67">
        <f>'Summary Data'!E153</f>
        <v>389.25901961671678</v>
      </c>
      <c r="Z14" s="67">
        <f>'Summary Data'!E180</f>
        <v>389.25687422488159</v>
      </c>
      <c r="AA14" s="68">
        <f>'Summary Data'!E207</f>
        <v>394.84915357586794</v>
      </c>
      <c r="AB14" s="68">
        <f>'Summary Data'!E234</f>
        <v>386.2130939718221</v>
      </c>
      <c r="AC14" s="68">
        <f>'Summary Data'!E261</f>
        <v>392.77410150187745</v>
      </c>
      <c r="AD14" s="68">
        <f>'Summary Data'!E288</f>
        <v>389.16685220752646</v>
      </c>
      <c r="AE14" s="68">
        <f>'Summary Data'!E315</f>
        <v>389.5058528926703</v>
      </c>
      <c r="AF14" s="68">
        <f>'Summary Data'!E342</f>
        <v>389.47802586426241</v>
      </c>
      <c r="AG14" s="68">
        <f>'Summary Data'!E369</f>
        <v>389.79119066056336</v>
      </c>
      <c r="AH14" s="68">
        <f>'Summary Data'!E396</f>
        <v>389.88472738925879</v>
      </c>
      <c r="AI14" s="68">
        <f>'Summary Data'!E423</f>
        <v>388.21179462718089</v>
      </c>
      <c r="AJ14" s="68">
        <f>'Summary Data'!E450</f>
        <v>389.31435334954904</v>
      </c>
      <c r="AK14" s="68"/>
      <c r="AL14" s="68"/>
      <c r="AM14" s="68"/>
      <c r="AN14" s="68"/>
      <c r="AO14" s="68"/>
    </row>
    <row r="15" spans="1:41" x14ac:dyDescent="0.2">
      <c r="A15" s="2">
        <v>2032</v>
      </c>
      <c r="B15" s="66">
        <f>'Summary Data'!D13</f>
        <v>858.36959163551273</v>
      </c>
      <c r="C15" s="66">
        <f>'Summary Data'!D41</f>
        <v>853.26399262067957</v>
      </c>
      <c r="D15" s="66">
        <f>'Summary Data'!D70</f>
        <v>857.4064048718094</v>
      </c>
      <c r="E15" s="66">
        <f>'Summary Data'!D100</f>
        <v>851.7601471798165</v>
      </c>
      <c r="F15" s="66">
        <f>'Summary Data'!D127</f>
        <v>858.30801026110043</v>
      </c>
      <c r="G15" s="66">
        <f>'Summary Data'!D154</f>
        <v>858.55397822689292</v>
      </c>
      <c r="H15" s="66">
        <f>'Summary Data'!D181</f>
        <v>860.91229122697109</v>
      </c>
      <c r="I15" s="66">
        <f>'Summary Data'!D208</f>
        <v>859.27377898935015</v>
      </c>
      <c r="J15" s="66">
        <f>'Summary Data'!D235</f>
        <v>854.33072944115008</v>
      </c>
      <c r="K15" s="66">
        <f>'Summary Data'!D262</f>
        <v>860.2742170289539</v>
      </c>
      <c r="L15" s="66">
        <f>'Summary Data'!D289</f>
        <v>865.86943406072737</v>
      </c>
      <c r="M15" s="66">
        <f>'Summary Data'!D316</f>
        <v>932.25930055823972</v>
      </c>
      <c r="N15" s="66">
        <f>'Summary Data'!D343</f>
        <v>897.638474868495</v>
      </c>
      <c r="O15" s="66">
        <f>'Summary Data'!D370</f>
        <v>964.47992255904683</v>
      </c>
      <c r="P15" s="66">
        <f>'Summary Data'!D397</f>
        <v>857.69616991605699</v>
      </c>
      <c r="Q15" s="66">
        <f>'Summary Data'!D424</f>
        <v>859.13458449078553</v>
      </c>
      <c r="R15" s="66">
        <f>'Summary Data'!D451</f>
        <v>863.02959118670901</v>
      </c>
      <c r="S15" s="66"/>
      <c r="T15" s="67">
        <f>'Summary Data'!E13</f>
        <v>401.50884291483072</v>
      </c>
      <c r="U15" s="67">
        <f>'Summary Data'!E41</f>
        <v>401.57342661485944</v>
      </c>
      <c r="V15" s="67">
        <f>'Summary Data'!E70</f>
        <v>403.25428780321056</v>
      </c>
      <c r="W15" s="67">
        <f>'Summary Data'!E100</f>
        <v>401.27578796695155</v>
      </c>
      <c r="X15" s="67">
        <f>'Summary Data'!E127</f>
        <v>410.7350656079642</v>
      </c>
      <c r="Y15" s="67">
        <f>'Summary Data'!E154</f>
        <v>401.36972863354151</v>
      </c>
      <c r="Z15" s="67">
        <f>'Summary Data'!E181</f>
        <v>404.58875335372608</v>
      </c>
      <c r="AA15" s="68">
        <f>'Summary Data'!E208</f>
        <v>407.22745677366333</v>
      </c>
      <c r="AB15" s="68">
        <f>'Summary Data'!E235</f>
        <v>397.91233017246685</v>
      </c>
      <c r="AC15" s="68">
        <f>'Summary Data'!E262</f>
        <v>405.67152901697182</v>
      </c>
      <c r="AD15" s="68">
        <f>'Summary Data'!E289</f>
        <v>401.49332115334903</v>
      </c>
      <c r="AE15" s="68">
        <f>'Summary Data'!E316</f>
        <v>401.94408110414946</v>
      </c>
      <c r="AF15" s="68">
        <f>'Summary Data'!E343</f>
        <v>405.12371959722077</v>
      </c>
      <c r="AG15" s="68">
        <f>'Summary Data'!E370</f>
        <v>402.5752447891814</v>
      </c>
      <c r="AH15" s="68">
        <f>'Summary Data'!E397</f>
        <v>403.38470256121559</v>
      </c>
      <c r="AI15" s="68">
        <f>'Summary Data'!E424</f>
        <v>405.66744388270774</v>
      </c>
      <c r="AJ15" s="68">
        <f>'Summary Data'!E451</f>
        <v>401.08410698096145</v>
      </c>
      <c r="AK15" s="68"/>
      <c r="AL15" s="68"/>
      <c r="AM15" s="68"/>
      <c r="AN15" s="68"/>
      <c r="AO15" s="68"/>
    </row>
    <row r="16" spans="1:41" x14ac:dyDescent="0.2">
      <c r="A16" s="2">
        <v>2033</v>
      </c>
      <c r="B16" s="66">
        <f>'Summary Data'!D14</f>
        <v>885.38887709908681</v>
      </c>
      <c r="C16" s="66">
        <f>'Summary Data'!D42</f>
        <v>878.82187038916231</v>
      </c>
      <c r="D16" s="66">
        <f>'Summary Data'!D71</f>
        <v>883.55404151850553</v>
      </c>
      <c r="E16" s="66">
        <f>'Summary Data'!D101</f>
        <v>879.52748927519292</v>
      </c>
      <c r="F16" s="66">
        <f>'Summary Data'!D128</f>
        <v>884.41205997400164</v>
      </c>
      <c r="G16" s="66">
        <f>'Summary Data'!D155</f>
        <v>884.69270749168606</v>
      </c>
      <c r="H16" s="66">
        <f>'Summary Data'!D182</f>
        <v>886.91068390493683</v>
      </c>
      <c r="I16" s="66">
        <f>'Summary Data'!D209</f>
        <v>885.41318939725784</v>
      </c>
      <c r="J16" s="66">
        <f>'Summary Data'!D236</f>
        <v>879.91727584935541</v>
      </c>
      <c r="K16" s="66">
        <f>'Summary Data'!D263</f>
        <v>887.2802770673585</v>
      </c>
      <c r="L16" s="66">
        <f>'Summary Data'!D290</f>
        <v>892.97214049814829</v>
      </c>
      <c r="M16" s="66">
        <f>'Summary Data'!D317</f>
        <v>959.98860956330373</v>
      </c>
      <c r="N16" s="66">
        <f>'Summary Data'!D344</f>
        <v>925.55799260128549</v>
      </c>
      <c r="O16" s="66">
        <f>'Summary Data'!D371</f>
        <v>991.4374005634952</v>
      </c>
      <c r="P16" s="66">
        <f>'Summary Data'!D398</f>
        <v>883.90360501278519</v>
      </c>
      <c r="Q16" s="66">
        <f>'Summary Data'!D425</f>
        <v>885.32459921508985</v>
      </c>
      <c r="R16" s="66">
        <f>'Summary Data'!D452</f>
        <v>890.61081401700801</v>
      </c>
      <c r="S16" s="66"/>
      <c r="T16" s="67">
        <f>'Summary Data'!E14</f>
        <v>412.15644002968008</v>
      </c>
      <c r="U16" s="67">
        <f>'Summary Data'!E42</f>
        <v>413.18490692117587</v>
      </c>
      <c r="V16" s="67">
        <f>'Summary Data'!E71</f>
        <v>414.63511144919607</v>
      </c>
      <c r="W16" s="67">
        <f>'Summary Data'!E101</f>
        <v>411.92082778956916</v>
      </c>
      <c r="X16" s="67">
        <f>'Summary Data'!E128</f>
        <v>421.80648330430404</v>
      </c>
      <c r="Y16" s="67">
        <f>'Summary Data'!E155</f>
        <v>412.97955259954017</v>
      </c>
      <c r="Z16" s="67">
        <f>'Summary Data'!E182</f>
        <v>415.97019840100319</v>
      </c>
      <c r="AA16" s="68">
        <f>'Summary Data'!E209</f>
        <v>418.60984205918328</v>
      </c>
      <c r="AB16" s="68">
        <f>'Summary Data'!E236</f>
        <v>408.68114482265571</v>
      </c>
      <c r="AC16" s="68">
        <f>'Summary Data'!E263</f>
        <v>418.22819534194628</v>
      </c>
      <c r="AD16" s="68">
        <f>'Summary Data'!E290</f>
        <v>413.08580795484653</v>
      </c>
      <c r="AE16" s="68">
        <f>'Summary Data'!E317</f>
        <v>413.63966569885588</v>
      </c>
      <c r="AF16" s="68">
        <f>'Summary Data'!E344</f>
        <v>416.44786782016723</v>
      </c>
      <c r="AG16" s="68">
        <f>'Summary Data'!E371</f>
        <v>414.54378934909539</v>
      </c>
      <c r="AH16" s="68">
        <f>'Summary Data'!E398</f>
        <v>414.88388207093874</v>
      </c>
      <c r="AI16" s="68">
        <f>'Summary Data'!E425</f>
        <v>416.97901228928538</v>
      </c>
      <c r="AJ16" s="68">
        <f>'Summary Data'!E452</f>
        <v>411.66824729003656</v>
      </c>
      <c r="AK16" s="68"/>
      <c r="AL16" s="68"/>
      <c r="AM16" s="68"/>
      <c r="AN16" s="68"/>
      <c r="AO16" s="68"/>
    </row>
    <row r="17" spans="1:41" x14ac:dyDescent="0.2">
      <c r="A17" s="2">
        <v>2034</v>
      </c>
      <c r="B17" s="66">
        <f>'Summary Data'!D15</f>
        <v>897.47146292632749</v>
      </c>
      <c r="C17" s="66">
        <f>'Summary Data'!D43</f>
        <v>891.19111559275734</v>
      </c>
      <c r="D17" s="66">
        <f>'Summary Data'!D72</f>
        <v>894.66025062863309</v>
      </c>
      <c r="E17" s="66">
        <f>'Summary Data'!D102</f>
        <v>890.13740166134244</v>
      </c>
      <c r="F17" s="66">
        <f>'Summary Data'!D129</f>
        <v>895.5104967205981</v>
      </c>
      <c r="G17" s="66">
        <f>'Summary Data'!D156</f>
        <v>895.69507499476708</v>
      </c>
      <c r="H17" s="66">
        <f>'Summary Data'!D183</f>
        <v>897.91290234750329</v>
      </c>
      <c r="I17" s="66">
        <f>'Summary Data'!D210</f>
        <v>896.5457646380753</v>
      </c>
      <c r="J17" s="66">
        <f>'Summary Data'!D237</f>
        <v>890.3879953691262</v>
      </c>
      <c r="K17" s="66">
        <f>'Summary Data'!D264</f>
        <v>900.92466684668261</v>
      </c>
      <c r="L17" s="66">
        <f>'Summary Data'!D291</f>
        <v>907.62023401140971</v>
      </c>
      <c r="M17" s="66">
        <f>'Summary Data'!D318</f>
        <v>976.98950860022137</v>
      </c>
      <c r="N17" s="66">
        <f>'Summary Data'!D345</f>
        <v>939.68807486737228</v>
      </c>
      <c r="O17" s="66">
        <f>'Summary Data'!D372</f>
        <v>1009.7713418533506</v>
      </c>
      <c r="P17" s="66">
        <f>'Summary Data'!D399</f>
        <v>895.07192983258938</v>
      </c>
      <c r="Q17" s="66">
        <f>'Summary Data'!D426</f>
        <v>896.9538483719673</v>
      </c>
      <c r="R17" s="66">
        <f>'Summary Data'!D453</f>
        <v>918.14098800887155</v>
      </c>
      <c r="S17" s="66"/>
      <c r="T17" s="67">
        <f>'Summary Data'!E15</f>
        <v>425.0686013532852</v>
      </c>
      <c r="U17" s="67">
        <f>'Summary Data'!E43</f>
        <v>425.17429956123777</v>
      </c>
      <c r="V17" s="67">
        <f>'Summary Data'!E72</f>
        <v>417.32886427153278</v>
      </c>
      <c r="W17" s="67">
        <f>'Summary Data'!E102</f>
        <v>415.77904824261685</v>
      </c>
      <c r="X17" s="67">
        <f>'Summary Data'!E129</f>
        <v>424.45358744161814</v>
      </c>
      <c r="Y17" s="67">
        <f>'Summary Data'!E156</f>
        <v>415.86726663725244</v>
      </c>
      <c r="Z17" s="67">
        <f>'Summary Data'!E183</f>
        <v>418.8158043859209</v>
      </c>
      <c r="AA17" s="68">
        <f>'Summary Data'!E210</f>
        <v>421.2217699682609</v>
      </c>
      <c r="AB17" s="68">
        <f>'Summary Data'!E237</f>
        <v>410.73093074253683</v>
      </c>
      <c r="AC17" s="68">
        <f>'Summary Data'!E264</f>
        <v>431.73259978630642</v>
      </c>
      <c r="AD17" s="68">
        <f>'Summary Data'!E291</f>
        <v>426.14723672781872</v>
      </c>
      <c r="AE17" s="68">
        <f>'Summary Data'!E318</f>
        <v>426.18675581693617</v>
      </c>
      <c r="AF17" s="68">
        <f>'Summary Data'!E345</f>
        <v>419.51604200001282</v>
      </c>
      <c r="AG17" s="68">
        <f>'Summary Data'!E372</f>
        <v>427.15361403890716</v>
      </c>
      <c r="AH17" s="68">
        <f>'Summary Data'!E399</f>
        <v>417.66606168717101</v>
      </c>
      <c r="AI17" s="68">
        <f>'Summary Data'!E426</f>
        <v>419.1019973495824</v>
      </c>
      <c r="AJ17" s="68">
        <f>'Summary Data'!E453</f>
        <v>424.89917598651743</v>
      </c>
      <c r="AK17" s="68"/>
      <c r="AL17" s="68"/>
      <c r="AM17" s="68"/>
      <c r="AN17" s="68"/>
      <c r="AO17" s="68"/>
    </row>
    <row r="18" spans="1:41" x14ac:dyDescent="0.2">
      <c r="A18" s="2">
        <v>2035</v>
      </c>
      <c r="B18" s="66">
        <f>'Summary Data'!D16</f>
        <v>930.39333049735421</v>
      </c>
      <c r="C18" s="66">
        <f>'Summary Data'!D44</f>
        <v>923.47392677855169</v>
      </c>
      <c r="D18" s="66">
        <f>'Summary Data'!D73</f>
        <v>928.02134302736351</v>
      </c>
      <c r="E18" s="66">
        <f>'Summary Data'!D103</f>
        <v>925.02170761972911</v>
      </c>
      <c r="F18" s="66">
        <f>'Summary Data'!D130</f>
        <v>928.39208102865541</v>
      </c>
      <c r="G18" s="66">
        <f>'Summary Data'!D157</f>
        <v>930.48830667669779</v>
      </c>
      <c r="H18" s="66">
        <f>'Summary Data'!D184</f>
        <v>930.80986928224957</v>
      </c>
      <c r="I18" s="66">
        <f>'Summary Data'!D211</f>
        <v>929.46853848411297</v>
      </c>
      <c r="J18" s="66">
        <f>'Summary Data'!D238</f>
        <v>922.54309071688976</v>
      </c>
      <c r="K18" s="66">
        <f>'Summary Data'!D265</f>
        <v>934.47783885632043</v>
      </c>
      <c r="L18" s="66">
        <f>'Summary Data'!D292</f>
        <v>942.65382338363452</v>
      </c>
      <c r="M18" s="66">
        <f>'Summary Data'!D319</f>
        <v>1033.3866797676772</v>
      </c>
      <c r="N18" s="66">
        <f>'Summary Data'!D346</f>
        <v>976.24888459898841</v>
      </c>
      <c r="O18" s="66">
        <f>'Summary Data'!D373</f>
        <v>1049.1443467287604</v>
      </c>
      <c r="P18" s="66">
        <f>'Summary Data'!D400</f>
        <v>928.16157266119046</v>
      </c>
      <c r="Q18" s="66">
        <f>'Summary Data'!D427</f>
        <v>929.94973839221768</v>
      </c>
      <c r="R18" s="66">
        <f>'Summary Data'!D454</f>
        <v>956.5894759760497</v>
      </c>
      <c r="S18" s="66"/>
      <c r="T18" s="67">
        <f>'Summary Data'!E16</f>
        <v>440.6852339775092</v>
      </c>
      <c r="U18" s="67">
        <f>'Summary Data'!E44</f>
        <v>440.80461659135403</v>
      </c>
      <c r="V18" s="67">
        <f>'Summary Data'!E73</f>
        <v>433.50196538053279</v>
      </c>
      <c r="W18" s="67">
        <f>'Summary Data'!E103</f>
        <v>431.88474160505262</v>
      </c>
      <c r="X18" s="67">
        <f>'Summary Data'!E130</f>
        <v>440.23433613920326</v>
      </c>
      <c r="Y18" s="67">
        <f>'Summary Data'!E157</f>
        <v>440.99983917745749</v>
      </c>
      <c r="Z18" s="67">
        <f>'Summary Data'!E184</f>
        <v>434.91180530572728</v>
      </c>
      <c r="AA18" s="68">
        <f>'Summary Data'!E211</f>
        <v>437.0511503313902</v>
      </c>
      <c r="AB18" s="68">
        <f>'Summary Data'!E238</f>
        <v>425.9243917647197</v>
      </c>
      <c r="AC18" s="68">
        <f>'Summary Data'!E265</f>
        <v>448.28231208986142</v>
      </c>
      <c r="AD18" s="68">
        <f>'Summary Data'!E292</f>
        <v>441.83081869953583</v>
      </c>
      <c r="AE18" s="68">
        <f>'Summary Data'!E319</f>
        <v>443.25254506394606</v>
      </c>
      <c r="AF18" s="68">
        <f>'Summary Data'!E346</f>
        <v>435.66346786818701</v>
      </c>
      <c r="AG18" s="68">
        <f>'Summary Data'!E373</f>
        <v>442.49786451407488</v>
      </c>
      <c r="AH18" s="68">
        <f>'Summary Data'!E400</f>
        <v>433.81586945838535</v>
      </c>
      <c r="AI18" s="68">
        <f>'Summary Data'!E427</f>
        <v>434.99394987081496</v>
      </c>
      <c r="AJ18" s="68">
        <f>'Summary Data'!E454</f>
        <v>439.72978086726022</v>
      </c>
      <c r="AK18" s="68"/>
      <c r="AL18" s="68"/>
      <c r="AM18" s="68"/>
      <c r="AN18" s="68"/>
      <c r="AO18" s="68"/>
    </row>
    <row r="19" spans="1:41" x14ac:dyDescent="0.2">
      <c r="A19" s="2">
        <v>2036</v>
      </c>
      <c r="B19" s="66">
        <f>'Summary Data'!D17</f>
        <v>976.48842589826234</v>
      </c>
      <c r="C19" s="66">
        <f>'Summary Data'!D45</f>
        <v>968.89055102531393</v>
      </c>
      <c r="D19" s="66">
        <f>'Summary Data'!D74</f>
        <v>966.04496104048712</v>
      </c>
      <c r="E19" s="66">
        <f>'Summary Data'!D104</f>
        <v>954.68233800433632</v>
      </c>
      <c r="F19" s="66">
        <f>'Summary Data'!D131</f>
        <v>972.66997331210337</v>
      </c>
      <c r="G19" s="66">
        <f>'Summary Data'!D158</f>
        <v>974.91673311418094</v>
      </c>
      <c r="H19" s="66">
        <f>'Summary Data'!D185</f>
        <v>960.07979029599528</v>
      </c>
      <c r="I19" s="66">
        <f>'Summary Data'!D212</f>
        <v>974.75138999801584</v>
      </c>
      <c r="J19" s="66">
        <f>'Summary Data'!D239</f>
        <v>951.52544230922729</v>
      </c>
      <c r="K19" s="66">
        <f>'Summary Data'!D266</f>
        <v>982.06659679602717</v>
      </c>
      <c r="L19" s="66">
        <f>'Summary Data'!D293</f>
        <v>990.33831876055149</v>
      </c>
      <c r="M19" s="66">
        <f>'Summary Data'!D320</f>
        <v>1102.0163562666592</v>
      </c>
      <c r="N19" s="66">
        <f>'Summary Data'!D347</f>
        <v>1033.466827745827</v>
      </c>
      <c r="O19" s="66">
        <f>'Summary Data'!D374</f>
        <v>1119.1980110943955</v>
      </c>
      <c r="P19" s="66">
        <f>'Summary Data'!D401</f>
        <v>972.25899921128394</v>
      </c>
      <c r="Q19" s="66">
        <f>'Summary Data'!D428</f>
        <v>972.51987098365794</v>
      </c>
      <c r="R19" s="66">
        <f>'Summary Data'!D455</f>
        <v>1006.7139028300993</v>
      </c>
      <c r="S19" s="66"/>
      <c r="T19" s="67">
        <f>'Summary Data'!E17</f>
        <v>454.80788776394752</v>
      </c>
      <c r="U19" s="67">
        <f>'Summary Data'!E45</f>
        <v>454.94744585008868</v>
      </c>
      <c r="V19" s="67">
        <f>'Summary Data'!E74</f>
        <v>451.6866053815595</v>
      </c>
      <c r="W19" s="67">
        <f>'Summary Data'!E104</f>
        <v>445.13485362979469</v>
      </c>
      <c r="X19" s="67">
        <f>'Summary Data'!E131</f>
        <v>453.77605689552024</v>
      </c>
      <c r="Y19" s="67">
        <f>'Summary Data'!E158</f>
        <v>453.3119526550928</v>
      </c>
      <c r="Z19" s="67">
        <f>'Summary Data'!E185</f>
        <v>448.33152819540965</v>
      </c>
      <c r="AA19" s="68">
        <f>'Summary Data'!E212</f>
        <v>460.26771805889462</v>
      </c>
      <c r="AB19" s="68">
        <f>'Summary Data'!E239</f>
        <v>439.0955307408089</v>
      </c>
      <c r="AC19" s="68">
        <f>'Summary Data'!E266</f>
        <v>463.38739026021574</v>
      </c>
      <c r="AD19" s="68">
        <f>'Summary Data'!E293</f>
        <v>456.06207012235643</v>
      </c>
      <c r="AE19" s="68">
        <f>'Summary Data'!E320</f>
        <v>460.86435764259727</v>
      </c>
      <c r="AF19" s="68">
        <f>'Summary Data'!E347</f>
        <v>458.19729841190554</v>
      </c>
      <c r="AG19" s="68">
        <f>'Summary Data'!E374</f>
        <v>457.68258759984593</v>
      </c>
      <c r="AH19" s="68">
        <f>'Summary Data'!E401</f>
        <v>455.19145514881393</v>
      </c>
      <c r="AI19" s="68">
        <f>'Summary Data'!E428</f>
        <v>455.13332435906887</v>
      </c>
      <c r="AJ19" s="68">
        <f>'Summary Data'!E455</f>
        <v>452.81092699522901</v>
      </c>
      <c r="AK19" s="68"/>
      <c r="AL19" s="68"/>
      <c r="AM19" s="68"/>
      <c r="AN19" s="68"/>
      <c r="AO19" s="68"/>
    </row>
    <row r="20" spans="1:41" x14ac:dyDescent="0.2">
      <c r="A20" s="2">
        <v>2037</v>
      </c>
      <c r="B20" s="66">
        <f>'Summary Data'!D18</f>
        <v>1010.5173385551569</v>
      </c>
      <c r="C20" s="66">
        <f>'Summary Data'!D46</f>
        <v>1002.1688081488235</v>
      </c>
      <c r="D20" s="66">
        <f>'Summary Data'!D75</f>
        <v>999.81922068893323</v>
      </c>
      <c r="E20" s="66">
        <f>'Summary Data'!D105</f>
        <v>990.57013264556826</v>
      </c>
      <c r="F20" s="66">
        <f>'Summary Data'!D132</f>
        <v>1006.6566155088035</v>
      </c>
      <c r="G20" s="66">
        <f>'Summary Data'!D159</f>
        <v>1009.2504033378002</v>
      </c>
      <c r="H20" s="66">
        <f>'Summary Data'!D186</f>
        <v>996.54422377549292</v>
      </c>
      <c r="I20" s="66">
        <f>'Summary Data'!D213</f>
        <v>1008.8635736241263</v>
      </c>
      <c r="J20" s="66">
        <f>'Summary Data'!D240</f>
        <v>994.61767017771069</v>
      </c>
      <c r="K20" s="66">
        <f>'Summary Data'!D267</f>
        <v>1016.8317463730814</v>
      </c>
      <c r="L20" s="66">
        <f>'Summary Data'!D294</f>
        <v>1048.4541925010558</v>
      </c>
      <c r="M20" s="66">
        <f>'Summary Data'!D321</f>
        <v>1161.2846487040497</v>
      </c>
      <c r="N20" s="66">
        <f>'Summary Data'!D348</f>
        <v>1088.3493700780286</v>
      </c>
      <c r="O20" s="66">
        <f>'Summary Data'!D375</f>
        <v>1189.5202925544293</v>
      </c>
      <c r="P20" s="66">
        <f>'Summary Data'!D402</f>
        <v>1006.4809710905361</v>
      </c>
      <c r="Q20" s="66">
        <f>'Summary Data'!D429</f>
        <v>1006.6630667254245</v>
      </c>
      <c r="R20" s="66">
        <f>'Summary Data'!D456</f>
        <v>1060.2704369760054</v>
      </c>
      <c r="S20" s="66"/>
      <c r="T20" s="67">
        <f>'Summary Data'!E18</f>
        <v>470.77474717504219</v>
      </c>
      <c r="U20" s="67">
        <f>'Summary Data'!E46</f>
        <v>470.92657625255674</v>
      </c>
      <c r="V20" s="67">
        <f>'Summary Data'!E75</f>
        <v>467.7836011843923</v>
      </c>
      <c r="W20" s="67">
        <f>'Summary Data'!E105</f>
        <v>461.50574500847779</v>
      </c>
      <c r="X20" s="67">
        <f>'Summary Data'!E132</f>
        <v>469.80188808432513</v>
      </c>
      <c r="Y20" s="67">
        <f>'Summary Data'!E159</f>
        <v>468.42644366642446</v>
      </c>
      <c r="Z20" s="67">
        <f>'Summary Data'!E186</f>
        <v>467.34536332641585</v>
      </c>
      <c r="AA20" s="68">
        <f>'Summary Data'!E213</f>
        <v>475.81032007031649</v>
      </c>
      <c r="AB20" s="68">
        <f>'Summary Data'!E240</f>
        <v>459.19569133302718</v>
      </c>
      <c r="AC20" s="68">
        <f>'Summary Data'!E267</f>
        <v>480.48639184481385</v>
      </c>
      <c r="AD20" s="68">
        <f>'Summary Data'!E294</f>
        <v>473.5341311240183</v>
      </c>
      <c r="AE20" s="68">
        <f>'Summary Data'!E321</f>
        <v>478.33492118372163</v>
      </c>
      <c r="AF20" s="68">
        <f>'Summary Data'!E348</f>
        <v>474.74499303636253</v>
      </c>
      <c r="AG20" s="68">
        <f>'Summary Data'!E375</f>
        <v>478.64792297873169</v>
      </c>
      <c r="AH20" s="68">
        <f>'Summary Data'!E402</f>
        <v>471.54219308469783</v>
      </c>
      <c r="AI20" s="68">
        <f>'Summary Data'!E429</f>
        <v>471.26906871513063</v>
      </c>
      <c r="AJ20" s="68">
        <f>'Summary Data'!E456</f>
        <v>467.39312973751021</v>
      </c>
      <c r="AK20" s="68"/>
      <c r="AL20" s="68"/>
      <c r="AM20" s="68"/>
      <c r="AN20" s="68"/>
      <c r="AO20" s="68"/>
    </row>
    <row r="21" spans="1:41" x14ac:dyDescent="0.2">
      <c r="A21" s="2">
        <v>2038</v>
      </c>
      <c r="B21" s="66">
        <f>'Summary Data'!D19</f>
        <v>1043.7055451682263</v>
      </c>
      <c r="C21" s="66">
        <f>'Summary Data'!D47</f>
        <v>1034.508169073822</v>
      </c>
      <c r="D21" s="66">
        <f>'Summary Data'!D76</f>
        <v>1039.4224962764747</v>
      </c>
      <c r="E21" s="66">
        <f>'Summary Data'!D106</f>
        <v>1022.7237390291932</v>
      </c>
      <c r="F21" s="66">
        <f>'Summary Data'!D133</f>
        <v>1048.2040290667769</v>
      </c>
      <c r="G21" s="66">
        <f>'Summary Data'!D160</f>
        <v>1052.6139670202965</v>
      </c>
      <c r="H21" s="66">
        <f>'Summary Data'!D187</f>
        <v>1032.6246847033153</v>
      </c>
      <c r="I21" s="66">
        <f>'Summary Data'!D214</f>
        <v>1041.9405789282321</v>
      </c>
      <c r="J21" s="66">
        <f>'Summary Data'!D241</f>
        <v>1027.2272922781901</v>
      </c>
      <c r="K21" s="66">
        <f>'Summary Data'!D268</f>
        <v>1063.368219166211</v>
      </c>
      <c r="L21" s="66">
        <f>'Summary Data'!D295</f>
        <v>1085.8044290330072</v>
      </c>
      <c r="M21" s="66">
        <f>'Summary Data'!D322</f>
        <v>1225.2371241518119</v>
      </c>
      <c r="N21" s="66">
        <f>'Summary Data'!D349</f>
        <v>1142.7085648654252</v>
      </c>
      <c r="O21" s="66">
        <f>'Summary Data'!D376</f>
        <v>1263.8236017962649</v>
      </c>
      <c r="P21" s="66">
        <f>'Summary Data'!D403</f>
        <v>1049.6765194305467</v>
      </c>
      <c r="Q21" s="66">
        <f>'Summary Data'!D430</f>
        <v>1050.1889266486301</v>
      </c>
      <c r="R21" s="66">
        <f>'Summary Data'!D457</f>
        <v>1097.4775495832027</v>
      </c>
      <c r="S21" s="66"/>
      <c r="T21" s="67">
        <f>'Summary Data'!E19</f>
        <v>485.67009423941192</v>
      </c>
      <c r="U21" s="67">
        <f>'Summary Data'!E47</f>
        <v>485.84650557990676</v>
      </c>
      <c r="V21" s="67">
        <f>'Summary Data'!E76</f>
        <v>486.91043250381301</v>
      </c>
      <c r="W21" s="67">
        <f>'Summary Data'!E106</f>
        <v>476.71536156622506</v>
      </c>
      <c r="X21" s="67">
        <f>'Summary Data'!E133</f>
        <v>489.13823854573366</v>
      </c>
      <c r="Y21" s="67">
        <f>'Summary Data'!E160</f>
        <v>485.10898550604657</v>
      </c>
      <c r="Z21" s="67">
        <f>'Summary Data'!E187</f>
        <v>482.4417506921144</v>
      </c>
      <c r="AA21" s="68">
        <f>'Summary Data'!E214</f>
        <v>490.64697688724493</v>
      </c>
      <c r="AB21" s="68">
        <f>'Summary Data'!E241</f>
        <v>473.1365905948287</v>
      </c>
      <c r="AC21" s="68">
        <f>'Summary Data'!E268</f>
        <v>502.81666534353133</v>
      </c>
      <c r="AD21" s="68">
        <f>'Summary Data'!E295</f>
        <v>488.70319611358673</v>
      </c>
      <c r="AE21" s="68">
        <f>'Summary Data'!E322</f>
        <v>493.66977529378426</v>
      </c>
      <c r="AF21" s="68">
        <f>'Summary Data'!E349</f>
        <v>489.16440240573905</v>
      </c>
      <c r="AG21" s="68">
        <f>'Summary Data'!E376</f>
        <v>496.19465654429939</v>
      </c>
      <c r="AH21" s="68">
        <f>'Summary Data'!E403</f>
        <v>492.56885366572891</v>
      </c>
      <c r="AI21" s="68">
        <f>'Summary Data'!E430</f>
        <v>491.98802046556455</v>
      </c>
      <c r="AJ21" s="68">
        <f>'Summary Data'!E457</f>
        <v>484.11976135955922</v>
      </c>
      <c r="AK21" s="68"/>
      <c r="AL21" s="68"/>
      <c r="AM21" s="68"/>
      <c r="AN21" s="68"/>
      <c r="AO21" s="68"/>
    </row>
    <row r="22" spans="1:41" x14ac:dyDescent="0.2">
      <c r="A22" s="2">
        <v>2039</v>
      </c>
      <c r="B22" s="66">
        <f>'Summary Data'!D20</f>
        <v>1102.2015646858899</v>
      </c>
      <c r="C22" s="66">
        <f>'Summary Data'!D48</f>
        <v>1092.1113764999686</v>
      </c>
      <c r="D22" s="66">
        <f>'Summary Data'!D77</f>
        <v>1084.9347466448473</v>
      </c>
      <c r="E22" s="66">
        <f>'Summary Data'!D107</f>
        <v>1070.0257376885279</v>
      </c>
      <c r="F22" s="66">
        <f>'Summary Data'!D134</f>
        <v>1093.9454055069755</v>
      </c>
      <c r="G22" s="66">
        <f>'Summary Data'!D161</f>
        <v>1097.8228631923685</v>
      </c>
      <c r="H22" s="66">
        <f>'Summary Data'!D188</f>
        <v>1081.1760361124484</v>
      </c>
      <c r="I22" s="66">
        <f>'Summary Data'!D215</f>
        <v>1099.9034854187337</v>
      </c>
      <c r="J22" s="66">
        <f>'Summary Data'!D242</f>
        <v>1084.0129408459284</v>
      </c>
      <c r="K22" s="66">
        <f>'Summary Data'!D269</f>
        <v>1109.8805479591203</v>
      </c>
      <c r="L22" s="66">
        <f>'Summary Data'!D296</f>
        <v>1154.1421944234664</v>
      </c>
      <c r="M22" s="66">
        <f>'Summary Data'!D323</f>
        <v>1303.6053249912354</v>
      </c>
      <c r="N22" s="66">
        <f>'Summary Data'!D350</f>
        <v>1208.6016115059688</v>
      </c>
      <c r="O22" s="66">
        <f>'Summary Data'!D377</f>
        <v>1350.5145442052831</v>
      </c>
      <c r="P22" s="66">
        <f>'Summary Data'!D404</f>
        <v>1095.9927415903617</v>
      </c>
      <c r="Q22" s="66">
        <f>'Summary Data'!D431</f>
        <v>1096.3957978209619</v>
      </c>
      <c r="R22" s="66">
        <f>'Summary Data'!D458</f>
        <v>1164.0505469628381</v>
      </c>
      <c r="S22" s="66"/>
      <c r="T22" s="67">
        <f>'Summary Data'!E20</f>
        <v>507.72765939892008</v>
      </c>
      <c r="U22" s="67">
        <f>'Summary Data'!E48</f>
        <v>507.95684558816117</v>
      </c>
      <c r="V22" s="67">
        <f>'Summary Data'!E77</f>
        <v>508.97815438019973</v>
      </c>
      <c r="W22" s="67">
        <f>'Summary Data'!E107</f>
        <v>499.11413705280614</v>
      </c>
      <c r="X22" s="67">
        <f>'Summary Data'!E134</f>
        <v>510.88021246156654</v>
      </c>
      <c r="Y22" s="67">
        <f>'Summary Data'!E161</f>
        <v>507.09786769114396</v>
      </c>
      <c r="Z22" s="67">
        <f>'Summary Data'!E188</f>
        <v>507.38953971191279</v>
      </c>
      <c r="AA22" s="68">
        <f>'Summary Data'!E215</f>
        <v>512.51711411753445</v>
      </c>
      <c r="AB22" s="68">
        <f>'Summary Data'!E242</f>
        <v>494.2423102118878</v>
      </c>
      <c r="AC22" s="68">
        <f>'Summary Data'!E269</f>
        <v>525.58974790006209</v>
      </c>
      <c r="AD22" s="68">
        <f>'Summary Data'!E296</f>
        <v>508.66533716205663</v>
      </c>
      <c r="AE22" s="68">
        <f>'Summary Data'!E323</f>
        <v>515.78017560020839</v>
      </c>
      <c r="AF22" s="68">
        <f>'Summary Data'!E350</f>
        <v>510.06428230214732</v>
      </c>
      <c r="AG22" s="68">
        <f>'Summary Data'!E377</f>
        <v>522.19382301491464</v>
      </c>
      <c r="AH22" s="68">
        <f>'Summary Data'!E404</f>
        <v>514.82451622842882</v>
      </c>
      <c r="AI22" s="68">
        <f>'Summary Data'!E431</f>
        <v>514.19110264538699</v>
      </c>
      <c r="AJ22" s="68">
        <f>'Summary Data'!E458</f>
        <v>505.03267024494698</v>
      </c>
      <c r="AK22" s="68"/>
      <c r="AL22" s="68"/>
      <c r="AM22" s="68"/>
      <c r="AN22" s="68"/>
      <c r="AO22" s="68"/>
    </row>
    <row r="23" spans="1:41" x14ac:dyDescent="0.2">
      <c r="A23" s="2">
        <v>2040</v>
      </c>
      <c r="B23" s="66">
        <f>'Summary Data'!D21</f>
        <v>1132.6063521572923</v>
      </c>
      <c r="C23" s="66">
        <f>'Summary Data'!D49</f>
        <v>1121.5850868783655</v>
      </c>
      <c r="D23" s="66">
        <f>'Summary Data'!D78</f>
        <v>1123.465272017178</v>
      </c>
      <c r="E23" s="66">
        <f>'Summary Data'!D108</f>
        <v>1103.9497599326644</v>
      </c>
      <c r="F23" s="66">
        <f>'Summary Data'!D135</f>
        <v>1131.7309232579864</v>
      </c>
      <c r="G23" s="66">
        <f>'Summary Data'!D162</f>
        <v>1134.1753086586691</v>
      </c>
      <c r="H23" s="66">
        <f>'Summary Data'!D189</f>
        <v>1113.0313252061533</v>
      </c>
      <c r="I23" s="66">
        <f>'Summary Data'!D216</f>
        <v>1130.3548420110571</v>
      </c>
      <c r="J23" s="66">
        <f>'Summary Data'!D243</f>
        <v>1112.5533737583194</v>
      </c>
      <c r="K23" s="66">
        <f>'Summary Data'!D270</f>
        <v>1149.8523490116143</v>
      </c>
      <c r="L23" s="66">
        <f>'Summary Data'!D297</f>
        <v>1209.6585043139889</v>
      </c>
      <c r="M23" s="66">
        <f>'Summary Data'!D324</f>
        <v>1366.9284516359808</v>
      </c>
      <c r="N23" s="66">
        <f>'Summary Data'!D351</f>
        <v>1257.8548916982188</v>
      </c>
      <c r="O23" s="66">
        <f>'Summary Data'!D378</f>
        <v>1427.4773494347728</v>
      </c>
      <c r="P23" s="66">
        <f>'Summary Data'!D405</f>
        <v>1137.0991629560085</v>
      </c>
      <c r="Q23" s="66">
        <f>'Summary Data'!D432</f>
        <v>1134.9279504710291</v>
      </c>
      <c r="R23" s="66">
        <f>'Summary Data'!D459</f>
        <v>1202.7471275914281</v>
      </c>
      <c r="S23" s="66"/>
      <c r="T23" s="67">
        <f>'Summary Data'!E21</f>
        <v>521.93128621724168</v>
      </c>
      <c r="U23" s="67">
        <f>'Summary Data'!E49</f>
        <v>522.17322962158846</v>
      </c>
      <c r="V23" s="67">
        <f>'Summary Data'!E78</f>
        <v>524.75080191358859</v>
      </c>
      <c r="W23" s="67">
        <f>'Summary Data'!E108</f>
        <v>514.48900713670264</v>
      </c>
      <c r="X23" s="67">
        <f>'Summary Data'!E135</f>
        <v>528.58377164461137</v>
      </c>
      <c r="Y23" s="67">
        <f>'Summary Data'!E162</f>
        <v>524.84943606160607</v>
      </c>
      <c r="Z23" s="67">
        <f>'Summary Data'!E189</f>
        <v>521.21701076030729</v>
      </c>
      <c r="AA23" s="68">
        <f>'Summary Data'!E216</f>
        <v>526.08290976715</v>
      </c>
      <c r="AB23" s="68">
        <f>'Summary Data'!E243</f>
        <v>507.45265257958442</v>
      </c>
      <c r="AC23" s="68">
        <f>'Summary Data'!E270</f>
        <v>542.81402011192415</v>
      </c>
      <c r="AD23" s="68">
        <f>'Summary Data'!E297</f>
        <v>526.33118728364241</v>
      </c>
      <c r="AE23" s="68">
        <f>'Summary Data'!E324</f>
        <v>533.13250503277823</v>
      </c>
      <c r="AF23" s="68">
        <f>'Summary Data'!E351</f>
        <v>523.78092037932186</v>
      </c>
      <c r="AG23" s="68">
        <f>'Summary Data'!E378</f>
        <v>540.24135720181039</v>
      </c>
      <c r="AH23" s="68">
        <f>'Summary Data'!E405</f>
        <v>531.11631116536125</v>
      </c>
      <c r="AI23" s="68">
        <f>'Summary Data'!E432</f>
        <v>532.84396278102406</v>
      </c>
      <c r="AJ23" s="68">
        <f>'Summary Data'!E459</f>
        <v>519.23260888269056</v>
      </c>
      <c r="AK23" s="68"/>
      <c r="AL23" s="68"/>
      <c r="AM23" s="68"/>
      <c r="AN23" s="68"/>
      <c r="AO23" s="68"/>
    </row>
    <row r="24" spans="1:41" x14ac:dyDescent="0.2">
      <c r="A24" s="2">
        <v>2041</v>
      </c>
      <c r="B24" s="66">
        <f>'Summary Data'!D22</f>
        <v>1180.0569700379704</v>
      </c>
      <c r="C24" s="66">
        <f>'Summary Data'!D50</f>
        <v>1160.8009636269928</v>
      </c>
      <c r="D24" s="66">
        <f>'Summary Data'!D79</f>
        <v>1140.7919949645225</v>
      </c>
      <c r="E24" s="66">
        <f>'Summary Data'!D109</f>
        <v>1123.8148478645346</v>
      </c>
      <c r="F24" s="66">
        <f>'Summary Data'!D136</f>
        <v>1164.3972138592712</v>
      </c>
      <c r="G24" s="66">
        <f>'Summary Data'!D163</f>
        <v>1175.5186303935689</v>
      </c>
      <c r="H24" s="66">
        <f>'Summary Data'!D190</f>
        <v>1149.5378449839045</v>
      </c>
      <c r="I24" s="66">
        <f>'Summary Data'!D217</f>
        <v>1175.2152391203413</v>
      </c>
      <c r="J24" s="66">
        <f>'Summary Data'!D244</f>
        <v>1153.9254952033721</v>
      </c>
      <c r="K24" s="66">
        <f>'Summary Data'!D271</f>
        <v>1195.30900072911</v>
      </c>
      <c r="L24" s="66">
        <f>'Summary Data'!D298</f>
        <v>1268.0528005833744</v>
      </c>
      <c r="M24" s="66">
        <f>'Summary Data'!D325</f>
        <v>1429.7746072668897</v>
      </c>
      <c r="N24" s="66">
        <f>'Summary Data'!D352</f>
        <v>1314.6853443360696</v>
      </c>
      <c r="O24" s="66">
        <f>'Summary Data'!D379</f>
        <v>1518.66194013569</v>
      </c>
      <c r="P24" s="66">
        <f>'Summary Data'!D406</f>
        <v>1177.1352063676711</v>
      </c>
      <c r="Q24" s="66">
        <f>'Summary Data'!D433</f>
        <v>1173.5848633566445</v>
      </c>
      <c r="R24" s="66">
        <f>'Summary Data'!D460</f>
        <v>1255.6423870432232</v>
      </c>
      <c r="S24" s="66"/>
      <c r="T24" s="67">
        <f>'Summary Data'!E22</f>
        <v>532.3721104009868</v>
      </c>
      <c r="U24" s="67">
        <f>'Summary Data'!E50</f>
        <v>532.89445573368585</v>
      </c>
      <c r="V24" s="67">
        <f>'Summary Data'!E79</f>
        <v>542.15662959022416</v>
      </c>
      <c r="W24" s="67">
        <f>'Summary Data'!E109</f>
        <v>517.68951313071557</v>
      </c>
      <c r="X24" s="67">
        <f>'Summary Data'!E136</f>
        <v>542.19080902985263</v>
      </c>
      <c r="Y24" s="67">
        <f>'Summary Data'!E163</f>
        <v>533.32505470406636</v>
      </c>
      <c r="Z24" s="67">
        <f>'Summary Data'!E190</f>
        <v>532.4914912216492</v>
      </c>
      <c r="AA24" s="68">
        <f>'Summary Data'!E217</f>
        <v>531.3432998874448</v>
      </c>
      <c r="AB24" s="68">
        <f>'Summary Data'!E244</f>
        <v>519.38558627064458</v>
      </c>
      <c r="AC24" s="68">
        <f>'Summary Data'!E271</f>
        <v>554.19535728360859</v>
      </c>
      <c r="AD24" s="68">
        <f>'Summary Data'!E298</f>
        <v>536.50534761299991</v>
      </c>
      <c r="AE24" s="68">
        <f>'Summary Data'!E325</f>
        <v>540.38032492552679</v>
      </c>
      <c r="AF24" s="68">
        <f>'Summary Data'!E352</f>
        <v>528.17320587445738</v>
      </c>
      <c r="AG24" s="68">
        <f>'Summary Data'!E379</f>
        <v>549.00970901985397</v>
      </c>
      <c r="AH24" s="68">
        <f>'Summary Data'!E406</f>
        <v>541.9018980376602</v>
      </c>
      <c r="AI24" s="68">
        <f>'Summary Data'!E433</f>
        <v>544.83616664100145</v>
      </c>
      <c r="AJ24" s="68">
        <f>'Summary Data'!E460</f>
        <v>532.89507713172111</v>
      </c>
      <c r="AK24" s="68"/>
      <c r="AL24" s="68"/>
      <c r="AM24" s="68"/>
      <c r="AN24" s="68"/>
      <c r="AO24" s="68"/>
    </row>
    <row r="25" spans="1:41" x14ac:dyDescent="0.2">
      <c r="A25" s="2">
        <v>2042</v>
      </c>
      <c r="B25" s="66">
        <f>'Summary Data'!D23</f>
        <v>1274.6454815950792</v>
      </c>
      <c r="C25" s="66">
        <f>'Summary Data'!D51</f>
        <v>1254.4872319627789</v>
      </c>
      <c r="D25" s="66">
        <f>'Summary Data'!D80</f>
        <v>1209.4680942377133</v>
      </c>
      <c r="E25" s="66">
        <f>'Summary Data'!D110</f>
        <v>1167.1209152895144</v>
      </c>
      <c r="F25" s="66">
        <f>'Summary Data'!D137</f>
        <v>1252.558159215951</v>
      </c>
      <c r="G25" s="66">
        <f>'Summary Data'!D164</f>
        <v>1262.4892343142683</v>
      </c>
      <c r="H25" s="66">
        <f>'Summary Data'!D191</f>
        <v>1213.8397031453806</v>
      </c>
      <c r="I25" s="66">
        <f>'Summary Data'!D218</f>
        <v>1273.6365855737361</v>
      </c>
      <c r="J25" s="66">
        <f>'Summary Data'!D245</f>
        <v>1243.9830051257209</v>
      </c>
      <c r="K25" s="66">
        <f>'Summary Data'!D272</f>
        <v>1296.6551804957367</v>
      </c>
      <c r="L25" s="66">
        <f>'Summary Data'!D299</f>
        <v>1388.3388037386694</v>
      </c>
      <c r="M25" s="66">
        <f>'Summary Data'!D326</f>
        <v>1588.272619537684</v>
      </c>
      <c r="N25" s="66">
        <f>'Summary Data'!D353</f>
        <v>1437.3356676889189</v>
      </c>
      <c r="O25" s="66">
        <f>'Summary Data'!D380</f>
        <v>1689.7855077620607</v>
      </c>
      <c r="P25" s="66">
        <f>'Summary Data'!D407</f>
        <v>1276.3161465043856</v>
      </c>
      <c r="Q25" s="66">
        <f>'Summary Data'!D434</f>
        <v>1274.8510115638624</v>
      </c>
      <c r="R25" s="66">
        <f>'Summary Data'!D461</f>
        <v>1363.8068414984696</v>
      </c>
      <c r="S25" s="66"/>
      <c r="T25" s="67">
        <f>'Summary Data'!E23</f>
        <v>566.38347892630543</v>
      </c>
      <c r="U25" s="67">
        <f>'Summary Data'!E51</f>
        <v>562.94318077179889</v>
      </c>
      <c r="V25" s="67">
        <f>'Summary Data'!E80</f>
        <v>574.7064234602517</v>
      </c>
      <c r="W25" s="67">
        <f>'Summary Data'!E110</f>
        <v>538.96913048571253</v>
      </c>
      <c r="X25" s="67">
        <f>'Summary Data'!E137</f>
        <v>584.63997606331532</v>
      </c>
      <c r="Y25" s="67">
        <f>'Summary Data'!E164</f>
        <v>564.81828328547101</v>
      </c>
      <c r="Z25" s="67">
        <f>'Summary Data'!E191</f>
        <v>561.4288824294033</v>
      </c>
      <c r="AA25" s="68">
        <f>'Summary Data'!E218</f>
        <v>565.89656768713962</v>
      </c>
      <c r="AB25" s="68">
        <f>'Summary Data'!E245</f>
        <v>546.75236861345661</v>
      </c>
      <c r="AC25" s="68">
        <f>'Summary Data'!E272</f>
        <v>591.58937121127974</v>
      </c>
      <c r="AD25" s="68">
        <f>'Summary Data'!E299</f>
        <v>580.12145675804129</v>
      </c>
      <c r="AE25" s="68">
        <f>'Summary Data'!E326</f>
        <v>594.77605645912195</v>
      </c>
      <c r="AF25" s="68">
        <f>'Summary Data'!E353</f>
        <v>571.05989128353417</v>
      </c>
      <c r="AG25" s="68">
        <f>'Summary Data'!E380</f>
        <v>604.38502299012703</v>
      </c>
      <c r="AH25" s="68">
        <f>'Summary Data'!E407</f>
        <v>609.57331457920645</v>
      </c>
      <c r="AI25" s="68">
        <f>'Summary Data'!E434</f>
        <v>577.85955820524282</v>
      </c>
      <c r="AJ25" s="68">
        <f>'Summary Data'!E461</f>
        <v>562.79148176827653</v>
      </c>
      <c r="AK25" s="68"/>
      <c r="AL25" s="68"/>
      <c r="AM25" s="68"/>
      <c r="AN25" s="68"/>
      <c r="AO25" s="68"/>
    </row>
    <row r="26" spans="1:41" x14ac:dyDescent="0.2">
      <c r="A26" s="2">
        <v>2043</v>
      </c>
      <c r="B26" s="66">
        <f>'Summary Data'!D24</f>
        <v>1339.4792530470138</v>
      </c>
      <c r="C26" s="66">
        <f>'Summary Data'!D52</f>
        <v>1317.1093532885936</v>
      </c>
      <c r="D26" s="66">
        <f>'Summary Data'!D81</f>
        <v>1271.1529684882403</v>
      </c>
      <c r="E26" s="66">
        <f>'Summary Data'!D111</f>
        <v>1224.7100857521275</v>
      </c>
      <c r="F26" s="66">
        <f>'Summary Data'!D138</f>
        <v>1314.2977140162066</v>
      </c>
      <c r="G26" s="66">
        <f>'Summary Data'!D165</f>
        <v>1327.2090587538394</v>
      </c>
      <c r="H26" s="66">
        <f>'Summary Data'!D192</f>
        <v>1286.6547161293593</v>
      </c>
      <c r="I26" s="66">
        <f>'Summary Data'!D219</f>
        <v>1337.7294500489052</v>
      </c>
      <c r="J26" s="66">
        <f>'Summary Data'!D246</f>
        <v>1308.2132448775487</v>
      </c>
      <c r="K26" s="66">
        <f>'Summary Data'!D273</f>
        <v>1359.8240716882826</v>
      </c>
      <c r="L26" s="66">
        <f>'Summary Data'!D300</f>
        <v>1496.4642911654796</v>
      </c>
      <c r="M26" s="66">
        <f>'Summary Data'!D327</f>
        <v>1691.6776536514139</v>
      </c>
      <c r="N26" s="66">
        <f>'Summary Data'!D354</f>
        <v>1537.74883606035</v>
      </c>
      <c r="O26" s="66">
        <f>'Summary Data'!D381</f>
        <v>1869.0068884845607</v>
      </c>
      <c r="P26" s="66">
        <f>'Summary Data'!D408</f>
        <v>1356.8667475109257</v>
      </c>
      <c r="Q26" s="66">
        <f>'Summary Data'!D435</f>
        <v>1340.0726466324131</v>
      </c>
      <c r="R26" s="66">
        <f>'Summary Data'!D462</f>
        <v>1471.2898236116941</v>
      </c>
      <c r="S26" s="66"/>
      <c r="T26" s="67">
        <f>'Summary Data'!E24</f>
        <v>595.00154747974307</v>
      </c>
      <c r="U26" s="67">
        <f>'Summary Data'!E52</f>
        <v>592.28795655178862</v>
      </c>
      <c r="V26" s="67">
        <f>'Summary Data'!E81</f>
        <v>605.17215502603335</v>
      </c>
      <c r="W26" s="67">
        <f>'Summary Data'!E111</f>
        <v>564.03473321157981</v>
      </c>
      <c r="X26" s="67">
        <f>'Summary Data'!E138</f>
        <v>615.18776970440558</v>
      </c>
      <c r="Y26" s="67">
        <f>'Summary Data'!E165</f>
        <v>593.52260006281733</v>
      </c>
      <c r="Z26" s="67">
        <f>'Summary Data'!E192</f>
        <v>586.20347054806473</v>
      </c>
      <c r="AA26" s="68">
        <f>'Summary Data'!E219</f>
        <v>592.85931509486988</v>
      </c>
      <c r="AB26" s="68">
        <f>'Summary Data'!E246</f>
        <v>570.22398884541576</v>
      </c>
      <c r="AC26" s="68">
        <f>'Summary Data'!E273</f>
        <v>620.45095168491025</v>
      </c>
      <c r="AD26" s="68">
        <f>'Summary Data'!E300</f>
        <v>606.66337009629888</v>
      </c>
      <c r="AE26" s="68">
        <f>'Summary Data'!E327</f>
        <v>619.54578501000174</v>
      </c>
      <c r="AF26" s="68">
        <f>'Summary Data'!E354</f>
        <v>597.88448484932746</v>
      </c>
      <c r="AG26" s="68">
        <f>'Summary Data'!E381</f>
        <v>657.86949160084419</v>
      </c>
      <c r="AH26" s="68">
        <f>'Summary Data'!E408</f>
        <v>650.03728338168685</v>
      </c>
      <c r="AI26" s="68">
        <f>'Summary Data'!E435</f>
        <v>609.85849661928114</v>
      </c>
      <c r="AJ26" s="68">
        <f>'Summary Data'!E462</f>
        <v>586.46022226691468</v>
      </c>
      <c r="AK26" s="68"/>
      <c r="AL26" s="68"/>
      <c r="AM26" s="68"/>
      <c r="AN26" s="68"/>
      <c r="AO26" s="68"/>
    </row>
    <row r="27" spans="1:41" x14ac:dyDescent="0.2">
      <c r="A27" s="2">
        <v>2044</v>
      </c>
      <c r="B27" s="66">
        <f>'Summary Data'!D25</f>
        <v>1404.9488297794392</v>
      </c>
      <c r="C27" s="66">
        <f>'Summary Data'!D53</f>
        <v>1376.1462998794921</v>
      </c>
      <c r="D27" s="66">
        <f>'Summary Data'!D82</f>
        <v>1321.5250263744977</v>
      </c>
      <c r="E27" s="66">
        <f>'Summary Data'!D112</f>
        <v>1284.7473022421625</v>
      </c>
      <c r="F27" s="66">
        <f>'Summary Data'!D139</f>
        <v>1373.0982968386913</v>
      </c>
      <c r="G27" s="66">
        <f>'Summary Data'!D166</f>
        <v>1403.4354073177874</v>
      </c>
      <c r="H27" s="66">
        <f>'Summary Data'!D193</f>
        <v>1356.3733340911772</v>
      </c>
      <c r="I27" s="66">
        <f>'Summary Data'!D220</f>
        <v>1392.4065944379049</v>
      </c>
      <c r="J27" s="66">
        <f>'Summary Data'!D247</f>
        <v>1377.3459370942337</v>
      </c>
      <c r="K27" s="66">
        <f>'Summary Data'!D274</f>
        <v>1439.1665146569085</v>
      </c>
      <c r="L27" s="66">
        <f>'Summary Data'!D301</f>
        <v>1598.7816802047448</v>
      </c>
      <c r="M27" s="66">
        <f>'Summary Data'!D328</f>
        <v>1806.88319200451</v>
      </c>
      <c r="N27" s="66">
        <f>'Summary Data'!D355</f>
        <v>1620.1430946848297</v>
      </c>
      <c r="O27" s="66">
        <f>'Summary Data'!D382</f>
        <v>1960.8618216729787</v>
      </c>
      <c r="P27" s="66">
        <f>'Summary Data'!D409</f>
        <v>1425.3017642058444</v>
      </c>
      <c r="Q27" s="66">
        <f>'Summary Data'!D436</f>
        <v>1405.4095908188915</v>
      </c>
      <c r="R27" s="66">
        <f>'Summary Data'!D463</f>
        <v>1542.5607051226773</v>
      </c>
      <c r="S27" s="66"/>
      <c r="T27" s="67">
        <f>'Summary Data'!E25</f>
        <v>622.02009272821192</v>
      </c>
      <c r="U27" s="67">
        <f>'Summary Data'!E53</f>
        <v>620.16537815651634</v>
      </c>
      <c r="V27" s="67">
        <f>'Summary Data'!E82</f>
        <v>633.67769627806319</v>
      </c>
      <c r="W27" s="67">
        <f>'Summary Data'!E112</f>
        <v>593.37637421192858</v>
      </c>
      <c r="X27" s="67">
        <f>'Summary Data'!E139</f>
        <v>647.73282168776643</v>
      </c>
      <c r="Y27" s="67">
        <f>'Summary Data'!E166</f>
        <v>621.33390248515195</v>
      </c>
      <c r="Z27" s="67">
        <f>'Summary Data'!E193</f>
        <v>611.8534791927317</v>
      </c>
      <c r="AA27" s="68">
        <f>'Summary Data'!E220</f>
        <v>620.02423229663805</v>
      </c>
      <c r="AB27" s="68">
        <f>'Summary Data'!E247</f>
        <v>590.51779004939738</v>
      </c>
      <c r="AC27" s="68">
        <f>'Summary Data'!E274</f>
        <v>650.34938360807155</v>
      </c>
      <c r="AD27" s="68">
        <f>'Summary Data'!E301</f>
        <v>640.4737352710074</v>
      </c>
      <c r="AE27" s="68">
        <f>'Summary Data'!E328</f>
        <v>670.26300421537701</v>
      </c>
      <c r="AF27" s="68">
        <f>'Summary Data'!E355</f>
        <v>628.02936539851703</v>
      </c>
      <c r="AG27" s="68">
        <f>'Summary Data'!E382</f>
        <v>688.75066850425992</v>
      </c>
      <c r="AH27" s="68">
        <f>'Summary Data'!E409</f>
        <v>681.36672188964519</v>
      </c>
      <c r="AI27" s="68">
        <f>'Summary Data'!E436</f>
        <v>638.78461190706059</v>
      </c>
      <c r="AJ27" s="68">
        <f>'Summary Data'!E463</f>
        <v>613.28101693190536</v>
      </c>
      <c r="AK27" s="68"/>
      <c r="AL27" s="68"/>
      <c r="AM27" s="68"/>
      <c r="AN27" s="68"/>
      <c r="AO27" s="68"/>
    </row>
    <row r="28" spans="1:41" x14ac:dyDescent="0.2">
      <c r="A28" s="2">
        <v>2045</v>
      </c>
      <c r="B28" s="66">
        <f>'Summary Data'!D26</f>
        <v>1617.3799134045134</v>
      </c>
      <c r="C28" s="66">
        <f>'Summary Data'!D54</f>
        <v>1536.8420681838656</v>
      </c>
      <c r="D28" s="66">
        <f>'Summary Data'!D83</f>
        <v>1414.175545673055</v>
      </c>
      <c r="E28" s="66">
        <f>'Summary Data'!D113</f>
        <v>1341.0096731122876</v>
      </c>
      <c r="F28" s="66">
        <f>'Summary Data'!D140</f>
        <v>1540.3807984365399</v>
      </c>
      <c r="G28" s="66">
        <f>'Summary Data'!D167</f>
        <v>1671.4363247692172</v>
      </c>
      <c r="H28" s="66">
        <f>'Summary Data'!D194</f>
        <v>1610.8240919143232</v>
      </c>
      <c r="I28" s="66">
        <f>'Summary Data'!D221</f>
        <v>1612.7521652455962</v>
      </c>
      <c r="J28" s="66">
        <f>'Summary Data'!D248</f>
        <v>1611.1272546834211</v>
      </c>
      <c r="K28" s="66">
        <f>'Summary Data'!D275</f>
        <v>1665.0407784302124</v>
      </c>
      <c r="L28" s="66">
        <f>'Summary Data'!D302</f>
        <v>1887.6784806119258</v>
      </c>
      <c r="M28" s="66">
        <f>'Summary Data'!D329</f>
        <v>2228.4372975388483</v>
      </c>
      <c r="N28" s="66">
        <f>'Summary Data'!D356</f>
        <v>1982.3449610056218</v>
      </c>
      <c r="O28" s="66">
        <f>'Summary Data'!D383</f>
        <v>2595.1700401475255</v>
      </c>
      <c r="P28" s="66">
        <f>'Summary Data'!D410</f>
        <v>1656.5481113502251</v>
      </c>
      <c r="Q28" s="66">
        <f>'Summary Data'!D437</f>
        <v>1627.5466129913868</v>
      </c>
      <c r="R28" s="66">
        <f>'Summary Data'!D464</f>
        <v>2077.8525612836738</v>
      </c>
      <c r="S28" s="66"/>
      <c r="T28" s="67">
        <f>'Summary Data'!E26</f>
        <v>679.08842214692368</v>
      </c>
      <c r="U28" s="67">
        <f>'Summary Data'!E54</f>
        <v>662.29791876264198</v>
      </c>
      <c r="V28" s="67">
        <f>'Summary Data'!E83</f>
        <v>676.47005483656039</v>
      </c>
      <c r="W28" s="67">
        <f>'Summary Data'!E113</f>
        <v>623.25689691999332</v>
      </c>
      <c r="X28" s="67">
        <f>'Summary Data'!E140</f>
        <v>691.91690281864044</v>
      </c>
      <c r="Y28" s="67">
        <f>'Summary Data'!E167</f>
        <v>681.91406676137808</v>
      </c>
      <c r="Z28" s="67">
        <f>'Summary Data'!E194</f>
        <v>658.59061327469556</v>
      </c>
      <c r="AA28" s="68">
        <f>'Summary Data'!E221</f>
        <v>675.84595578123322</v>
      </c>
      <c r="AB28" s="68">
        <f>'Summary Data'!E248</f>
        <v>637.66260434046114</v>
      </c>
      <c r="AC28" s="68">
        <f>'Summary Data'!E275</f>
        <v>712.00573299720634</v>
      </c>
      <c r="AD28" s="68">
        <f>'Summary Data'!E302</f>
        <v>716.70811927254658</v>
      </c>
      <c r="AE28" s="68">
        <f>'Summary Data'!E329</f>
        <v>717.44303820699884</v>
      </c>
      <c r="AF28" s="68">
        <f>'Summary Data'!E356</f>
        <v>712.69718384835642</v>
      </c>
      <c r="AG28" s="68">
        <f>'Summary Data'!E383</f>
        <v>752.34287615056314</v>
      </c>
      <c r="AH28" s="68">
        <f>'Summary Data'!E410</f>
        <v>945.90186759468884</v>
      </c>
      <c r="AI28" s="68">
        <f>'Summary Data'!E437</f>
        <v>690.07974376693539</v>
      </c>
      <c r="AJ28" s="68">
        <f>'Summary Data'!E464</f>
        <v>668.65416482310434</v>
      </c>
      <c r="AK28" s="68"/>
      <c r="AL28" s="68"/>
      <c r="AM28" s="68"/>
      <c r="AN28" s="68"/>
      <c r="AO28" s="68"/>
    </row>
    <row r="29" spans="1:41" x14ac:dyDescent="0.2">
      <c r="A29" s="3" t="s">
        <v>6</v>
      </c>
      <c r="B29" s="16">
        <f>NPV($A$1,B7:B28)</f>
        <v>10212.54177015306</v>
      </c>
      <c r="C29" s="16">
        <f t="shared" ref="C29:Q29" si="0">NPV($A$1,C7:C28)</f>
        <v>10122.156772005914</v>
      </c>
      <c r="D29" s="16">
        <f t="shared" si="0"/>
        <v>10063.54613897866</v>
      </c>
      <c r="E29" s="16">
        <f t="shared" si="0"/>
        <v>9965.8100132929158</v>
      </c>
      <c r="F29" s="16">
        <f t="shared" si="0"/>
        <v>10158.418299738747</v>
      </c>
      <c r="G29" s="16">
        <f t="shared" si="0"/>
        <v>10217.187521777265</v>
      </c>
      <c r="H29" s="16">
        <f t="shared" si="0"/>
        <v>10126.065807935458</v>
      </c>
      <c r="I29" s="16">
        <f t="shared" si="0"/>
        <v>10205.100128580674</v>
      </c>
      <c r="J29" s="16">
        <f t="shared" si="0"/>
        <v>10118.85011364489</v>
      </c>
      <c r="K29" s="16">
        <f t="shared" si="0"/>
        <v>10279.441525823078</v>
      </c>
      <c r="L29" s="16">
        <f t="shared" si="0"/>
        <v>10541.422846332467</v>
      </c>
      <c r="M29" s="16">
        <f t="shared" si="0"/>
        <v>11283.172968469011</v>
      </c>
      <c r="N29" s="16">
        <f t="shared" si="0"/>
        <v>10786.817552719411</v>
      </c>
      <c r="O29" s="16">
        <f t="shared" si="0"/>
        <v>11654.610545718137</v>
      </c>
      <c r="P29" s="16">
        <f t="shared" si="0"/>
        <v>10227.159624866797</v>
      </c>
      <c r="Q29" s="16">
        <f t="shared" si="0"/>
        <v>10219.445729866309</v>
      </c>
      <c r="R29" s="16">
        <f t="shared" ref="R29" si="1">NPV($A$1,R7:R28)</f>
        <v>10593.672088911744</v>
      </c>
      <c r="S29" s="16"/>
      <c r="T29" s="16">
        <f>NPV($A$1,T7:T28)</f>
        <v>4783.1210136077843</v>
      </c>
      <c r="U29" s="16">
        <f t="shared" ref="U29" si="2">NPV($A$1,U7:U28)</f>
        <v>4777.897616031637</v>
      </c>
      <c r="V29" s="16">
        <f t="shared" ref="V29" si="3">NPV($A$1,V7:V28)</f>
        <v>4788.7513375827311</v>
      </c>
      <c r="W29" s="16">
        <f t="shared" ref="W29" si="4">NPV($A$1,W7:W28)</f>
        <v>4713.2019392591546</v>
      </c>
      <c r="X29" s="16">
        <f t="shared" ref="X29" si="5">NPV($A$1,X7:X28)</f>
        <v>4821.2631342930626</v>
      </c>
      <c r="Y29" s="16">
        <f t="shared" ref="Y29" si="6">NPV($A$1,Y7:Y28)</f>
        <v>4777.9092324759658</v>
      </c>
      <c r="Z29" s="16">
        <f t="shared" ref="Z29" si="7">NPV($A$1,Z7:Z28)</f>
        <v>4763.4132972472171</v>
      </c>
      <c r="AA29" s="16">
        <f t="shared" ref="AA29" si="8">NPV($A$1,AA7:AA28)</f>
        <v>4819.2489427298742</v>
      </c>
      <c r="AB29" s="16">
        <f t="shared" ref="AB29" si="9">NPV($A$1,AB7:AB28)</f>
        <v>4697.0626513287243</v>
      </c>
      <c r="AC29" s="16">
        <f t="shared" ref="AC29" si="10">NPV($A$1,AC7:AC28)</f>
        <v>4868.2070862180908</v>
      </c>
      <c r="AD29" s="16">
        <f t="shared" ref="AD29" si="11">NPV($A$1,AD7:AD28)</f>
        <v>4812.1486789307301</v>
      </c>
      <c r="AE29" s="16">
        <f t="shared" ref="AE29" si="12">NPV($A$1,AE7:AE28)</f>
        <v>4842.5936389809376</v>
      </c>
      <c r="AF29" s="16">
        <f t="shared" ref="AF29" si="13">NPV($A$1,AF7:AF28)</f>
        <v>4799.5925930641852</v>
      </c>
      <c r="AG29" s="16">
        <f t="shared" ref="AG29" si="14">NPV($A$1,AG7:AG28)</f>
        <v>4878.5961933829267</v>
      </c>
      <c r="AH29" s="16">
        <f t="shared" ref="AH29" si="15">NPV($A$1,AH7:AH28)</f>
        <v>4902.4247782809198</v>
      </c>
      <c r="AI29" s="16">
        <f t="shared" ref="AI29:AJ29" si="16">NPV($A$1,AI7:AI28)</f>
        <v>4801.1606536756362</v>
      </c>
      <c r="AJ29" s="16">
        <f t="shared" si="16"/>
        <v>4769.2216303203886</v>
      </c>
      <c r="AK29" s="61"/>
      <c r="AL29" s="61"/>
      <c r="AM29" s="61"/>
      <c r="AN29" s="61"/>
      <c r="AO29" s="61"/>
    </row>
    <row r="30" spans="1:41" x14ac:dyDescent="0.2">
      <c r="A30" s="3" t="s">
        <v>7</v>
      </c>
      <c r="B30" s="16">
        <f>-PMT($A$1,COUNT(B7:B28),B29)</f>
        <v>886.08943125442033</v>
      </c>
      <c r="C30" s="16">
        <f>-PMT($A$1,COUNT(C7:C28),C29)</f>
        <v>878.24719242645244</v>
      </c>
      <c r="D30" s="16">
        <f t="shared" ref="D30:Q30" si="17">-PMT($A$1,COUNT(D7:D28),D29)</f>
        <v>873.16185092641933</v>
      </c>
      <c r="E30" s="16">
        <f t="shared" si="17"/>
        <v>864.68179278114985</v>
      </c>
      <c r="F30" s="16">
        <f t="shared" si="17"/>
        <v>881.39341764720098</v>
      </c>
      <c r="G30" s="16">
        <f t="shared" si="17"/>
        <v>886.49251909553652</v>
      </c>
      <c r="H30" s="16">
        <f t="shared" si="17"/>
        <v>878.58635925695546</v>
      </c>
      <c r="I30" s="16">
        <f t="shared" si="17"/>
        <v>885.44375850253527</v>
      </c>
      <c r="J30" s="16">
        <f t="shared" si="17"/>
        <v>877.96029078213951</v>
      </c>
      <c r="K30" s="16">
        <f t="shared" si="17"/>
        <v>891.89397705573617</v>
      </c>
      <c r="L30" s="16">
        <f t="shared" si="17"/>
        <v>914.62474129778707</v>
      </c>
      <c r="M30" s="16">
        <f t="shared" si="17"/>
        <v>978.98256314560092</v>
      </c>
      <c r="N30" s="16">
        <f t="shared" si="17"/>
        <v>935.91637081657575</v>
      </c>
      <c r="O30" s="16">
        <f t="shared" si="17"/>
        <v>1011.2102806892486</v>
      </c>
      <c r="P30" s="16">
        <f t="shared" si="17"/>
        <v>887.3577469059959</v>
      </c>
      <c r="Q30" s="16">
        <f t="shared" si="17"/>
        <v>886.68845213221925</v>
      </c>
      <c r="R30" s="16">
        <f t="shared" ref="R30" si="18">-PMT($A$1,COUNT(R7:R28),R29)</f>
        <v>919.15813784906038</v>
      </c>
      <c r="S30" s="16"/>
      <c r="T30" s="16">
        <f>-PMT($A$1,COUNT(T7:T28),T29)</f>
        <v>415.0066725754275</v>
      </c>
      <c r="U30" s="16">
        <f t="shared" ref="U30" si="19">-PMT($A$1,COUNT(U7:U28),U29)</f>
        <v>414.55346538258243</v>
      </c>
      <c r="V30" s="16">
        <f t="shared" ref="V30" si="20">-PMT($A$1,COUNT(V7:V28),V29)</f>
        <v>415.49518666731785</v>
      </c>
      <c r="W30" s="16">
        <f t="shared" ref="W30" si="21">-PMT($A$1,COUNT(W7:W28),W29)</f>
        <v>408.94015610795219</v>
      </c>
      <c r="X30" s="16">
        <f t="shared" ref="X30" si="22">-PMT($A$1,COUNT(X7:X28),X29)</f>
        <v>418.31606712043987</v>
      </c>
      <c r="Y30" s="16">
        <f t="shared" ref="Y30" si="23">-PMT($A$1,COUNT(Y7:Y28),Y29)</f>
        <v>414.55447328137791</v>
      </c>
      <c r="Z30" s="16">
        <f t="shared" ref="Z30" si="24">-PMT($A$1,COUNT(Z7:Z28),Z29)</f>
        <v>413.29673595296055</v>
      </c>
      <c r="AA30" s="16">
        <f t="shared" ref="AA30" si="25">-PMT($A$1,COUNT(AA7:AA28),AA29)</f>
        <v>418.14130613567909</v>
      </c>
      <c r="AB30" s="16">
        <f t="shared" ref="AB30" si="26">-PMT($A$1,COUNT(AB7:AB28),AB29)</f>
        <v>407.53983356484923</v>
      </c>
      <c r="AC30" s="16">
        <f t="shared" ref="AC30" si="27">-PMT($A$1,COUNT(AC7:AC28),AC29)</f>
        <v>422.38915104002314</v>
      </c>
      <c r="AD30" s="16">
        <f t="shared" ref="AD30" si="28">-PMT($A$1,COUNT(AD7:AD28),AD29)</f>
        <v>417.52525296761007</v>
      </c>
      <c r="AE30" s="16">
        <f t="shared" ref="AE30" si="29">-PMT($A$1,COUNT(AE7:AE28),AE29)</f>
        <v>420.16680469318476</v>
      </c>
      <c r="AF30" s="16">
        <f t="shared" ref="AF30" si="30">-PMT($A$1,COUNT(AF7:AF28),AF29)</f>
        <v>416.43582633566376</v>
      </c>
      <c r="AG30" s="16">
        <f t="shared" ref="AG30" si="31">-PMT($A$1,COUNT(AG7:AG28),AG29)</f>
        <v>423.29056013739739</v>
      </c>
      <c r="AH30" s="16">
        <f t="shared" ref="AH30" si="32">-PMT($A$1,COUNT(AH7:AH28),AH29)</f>
        <v>425.35804321017844</v>
      </c>
      <c r="AI30" s="16">
        <f t="shared" ref="AI30:AJ30" si="33">-PMT($A$1,COUNT(AI7:AI28),AI29)</f>
        <v>416.57187884508255</v>
      </c>
      <c r="AJ30" s="16">
        <f t="shared" si="33"/>
        <v>413.80069497366037</v>
      </c>
      <c r="AK30" s="61"/>
      <c r="AL30" s="61"/>
      <c r="AM30" s="61"/>
      <c r="AN30" s="61"/>
      <c r="AO30" s="61"/>
    </row>
    <row r="31" spans="1:41" x14ac:dyDescent="0.2">
      <c r="A31" s="3" t="s">
        <v>69</v>
      </c>
      <c r="B31" s="16"/>
      <c r="C31" s="52">
        <f>C30-$B30</f>
        <v>-7.8422388279678898</v>
      </c>
      <c r="D31" s="52">
        <f t="shared" ref="D31:J31" si="34">D30-$B30</f>
        <v>-12.927580328001</v>
      </c>
      <c r="E31" s="52">
        <f t="shared" si="34"/>
        <v>-21.407638473270481</v>
      </c>
      <c r="F31" s="52">
        <f t="shared" si="34"/>
        <v>-4.6960136072193563</v>
      </c>
      <c r="G31" s="52">
        <f t="shared" si="34"/>
        <v>0.40308784111618934</v>
      </c>
      <c r="H31" s="52">
        <f t="shared" si="34"/>
        <v>-7.5030719974648719</v>
      </c>
      <c r="I31" s="52">
        <f t="shared" si="34"/>
        <v>-0.64567275188505846</v>
      </c>
      <c r="J31" s="52">
        <f t="shared" si="34"/>
        <v>-8.1291404722808238</v>
      </c>
      <c r="K31" s="52">
        <f>K30-$B30</f>
        <v>5.8045458013158395</v>
      </c>
      <c r="L31" s="52">
        <f>L30-$B30</f>
        <v>28.535310043366735</v>
      </c>
      <c r="M31" s="52">
        <f>M30-$B30</f>
        <v>92.893131891180587</v>
      </c>
      <c r="N31" s="52">
        <f>N30-$B30</f>
        <v>49.826939562155417</v>
      </c>
      <c r="O31" s="52">
        <f>O30-$B30</f>
        <v>125.1208494348283</v>
      </c>
      <c r="P31" s="52">
        <f t="shared" ref="P31" si="35">P30-$B30</f>
        <v>1.2683156515755627</v>
      </c>
      <c r="Q31" s="52">
        <f t="shared" ref="Q31:R31" si="36">Q30-$B30</f>
        <v>0.59902087779892099</v>
      </c>
      <c r="R31" s="52">
        <f t="shared" si="36"/>
        <v>33.068706594640048</v>
      </c>
      <c r="S31" s="52"/>
      <c r="T31" s="75"/>
      <c r="U31" s="52">
        <f t="shared" ref="U31" si="37">U30-$T$30</f>
        <v>-0.45320719284507049</v>
      </c>
      <c r="V31" s="52">
        <f t="shared" ref="V31:AG31" si="38">V30-$T$30</f>
        <v>0.48851409189035166</v>
      </c>
      <c r="W31" s="52">
        <f t="shared" si="38"/>
        <v>-6.06651646747531</v>
      </c>
      <c r="X31" s="52">
        <f t="shared" si="38"/>
        <v>3.309394545012367</v>
      </c>
      <c r="Y31" s="52">
        <f t="shared" si="38"/>
        <v>-0.45219929404959203</v>
      </c>
      <c r="Z31" s="52">
        <f t="shared" si="38"/>
        <v>-1.7099366224669552</v>
      </c>
      <c r="AA31" s="52">
        <f t="shared" si="38"/>
        <v>3.1346335602515865</v>
      </c>
      <c r="AB31" s="52">
        <f t="shared" si="38"/>
        <v>-7.4668390105782692</v>
      </c>
      <c r="AC31" s="52">
        <f t="shared" si="38"/>
        <v>7.3824784645956356</v>
      </c>
      <c r="AD31" s="52">
        <f t="shared" si="38"/>
        <v>2.5185803921825709</v>
      </c>
      <c r="AE31" s="52">
        <f t="shared" si="38"/>
        <v>5.1601321177572572</v>
      </c>
      <c r="AF31" s="52">
        <f t="shared" si="38"/>
        <v>1.429153760236261</v>
      </c>
      <c r="AG31" s="52">
        <f t="shared" si="38"/>
        <v>8.2838875619698911</v>
      </c>
      <c r="AH31" s="52">
        <f>AH30-$T$30</f>
        <v>10.351370634750936</v>
      </c>
      <c r="AI31" s="52">
        <f>AI30-$T$30</f>
        <v>1.5652062696550502</v>
      </c>
      <c r="AJ31" s="52">
        <f>AJ30-$T$30</f>
        <v>-1.2059776017671311</v>
      </c>
      <c r="AK31" s="52"/>
      <c r="AL31" s="52"/>
      <c r="AM31" s="52"/>
      <c r="AN31" s="52"/>
      <c r="AO31" s="52"/>
    </row>
    <row r="32" spans="1:41" x14ac:dyDescent="0.2">
      <c r="A32" s="3" t="s">
        <v>64</v>
      </c>
      <c r="B32" s="16"/>
      <c r="C32" s="75">
        <f t="shared" ref="C32:I32" si="39">C13-$B13</f>
        <v>-3.8713706391113192</v>
      </c>
      <c r="D32" s="75">
        <f t="shared" si="39"/>
        <v>-9.065789214207598E-2</v>
      </c>
      <c r="E32" s="75">
        <f t="shared" si="39"/>
        <v>8.1328084704637149E-3</v>
      </c>
      <c r="F32" s="75">
        <f t="shared" si="39"/>
        <v>-9.065789214207598E-2</v>
      </c>
      <c r="G32" s="75">
        <f t="shared" si="39"/>
        <v>2.1393599741259095E-2</v>
      </c>
      <c r="H32" s="75">
        <f t="shared" si="39"/>
        <v>6.6174764655670515E-2</v>
      </c>
      <c r="I32" s="75">
        <f t="shared" si="39"/>
        <v>0.83801891356631586</v>
      </c>
      <c r="J32" s="75">
        <f t="shared" ref="J32:K32" si="40">J13-$B13</f>
        <v>-3.2756340970001929</v>
      </c>
      <c r="K32" s="75">
        <f t="shared" si="40"/>
        <v>1.0189656634648827</v>
      </c>
      <c r="L32" s="75">
        <f t="shared" ref="L32:M32" si="41">L13-$B13</f>
        <v>6.7712478102862406E-2</v>
      </c>
      <c r="M32" s="75">
        <f t="shared" si="41"/>
        <v>7.5877302138112555</v>
      </c>
      <c r="N32" s="75">
        <f t="shared" ref="N32:O32" si="42">N13-$B13</f>
        <v>3.9397911928347185</v>
      </c>
      <c r="O32" s="75">
        <f t="shared" si="42"/>
        <v>6.9622882595879219</v>
      </c>
      <c r="P32" s="75">
        <f t="shared" ref="P32:Q32" si="43">P13-$B13</f>
        <v>5.4392151717252091E-2</v>
      </c>
      <c r="Q32" s="75">
        <f t="shared" si="43"/>
        <v>0.75622946739872532</v>
      </c>
      <c r="R32" s="75">
        <f t="shared" ref="R32" si="44">R13-$B13</f>
        <v>3.0859786920019587</v>
      </c>
      <c r="S32" s="75"/>
      <c r="T32" s="75"/>
      <c r="U32" s="75">
        <f t="shared" ref="U32" si="45">U13-$T13</f>
        <v>2.6064842360540297E-2</v>
      </c>
      <c r="V32" s="75">
        <f t="shared" ref="V32:AH32" si="46">V13-$T13</f>
        <v>-1.2715081092494529E-2</v>
      </c>
      <c r="W32" s="75">
        <f t="shared" si="46"/>
        <v>-0.22834269272010488</v>
      </c>
      <c r="X32" s="75">
        <f t="shared" si="46"/>
        <v>-1.2715081092494529E-2</v>
      </c>
      <c r="Y32" s="75">
        <f t="shared" si="46"/>
        <v>6.6329808291243353E-3</v>
      </c>
      <c r="Z32" s="75">
        <f t="shared" si="46"/>
        <v>4.065414751210028E-3</v>
      </c>
      <c r="AA32" s="75">
        <f t="shared" si="46"/>
        <v>5.631872676683372</v>
      </c>
      <c r="AB32" s="75">
        <f t="shared" si="46"/>
        <v>-2.5408990400545122</v>
      </c>
      <c r="AC32" s="75">
        <f t="shared" si="46"/>
        <v>3.0331395619489285</v>
      </c>
      <c r="AD32" s="75">
        <f t="shared" si="46"/>
        <v>-9.1069728121112803E-2</v>
      </c>
      <c r="AE32" s="75">
        <f t="shared" si="46"/>
        <v>0.1181391307924855</v>
      </c>
      <c r="AF32" s="75">
        <f t="shared" si="46"/>
        <v>0.14225313233333736</v>
      </c>
      <c r="AG32" s="75">
        <f t="shared" si="46"/>
        <v>0.22462314919766868</v>
      </c>
      <c r="AH32" s="75">
        <f t="shared" si="46"/>
        <v>0.20173206153918954</v>
      </c>
      <c r="AI32" s="75">
        <f t="shared" ref="AI32:AJ32" si="47">AI13-$T13</f>
        <v>-0.8264496710718845</v>
      </c>
      <c r="AJ32" s="75">
        <f t="shared" si="47"/>
        <v>5.6851541819810336E-2</v>
      </c>
      <c r="AK32" s="75"/>
      <c r="AL32" s="75"/>
      <c r="AM32" s="75"/>
      <c r="AN32" s="75"/>
      <c r="AO32" s="75"/>
    </row>
    <row r="33" spans="1:41" x14ac:dyDescent="0.2">
      <c r="A33" s="3" t="s">
        <v>70</v>
      </c>
      <c r="B33" s="16"/>
      <c r="C33" s="75">
        <f t="shared" ref="C33:I33" si="48">C28-$B28</f>
        <v>-80.537845220647796</v>
      </c>
      <c r="D33" s="75">
        <f t="shared" si="48"/>
        <v>-203.20436773145843</v>
      </c>
      <c r="E33" s="75">
        <f t="shared" si="48"/>
        <v>-276.37024029222584</v>
      </c>
      <c r="F33" s="75">
        <f t="shared" si="48"/>
        <v>-76.999114967973583</v>
      </c>
      <c r="G33" s="75">
        <f t="shared" si="48"/>
        <v>54.056411364703763</v>
      </c>
      <c r="H33" s="75">
        <f t="shared" si="48"/>
        <v>-6.5558214901902829</v>
      </c>
      <c r="I33" s="75">
        <f t="shared" si="48"/>
        <v>-4.6277481589172567</v>
      </c>
      <c r="J33" s="75">
        <f t="shared" ref="J33:K33" si="49">J28-$B28</f>
        <v>-6.2526587210923026</v>
      </c>
      <c r="K33" s="75">
        <f t="shared" si="49"/>
        <v>47.660865025698968</v>
      </c>
      <c r="L33" s="75">
        <f t="shared" ref="L33:M33" si="50">L28-$B28</f>
        <v>270.29856720741236</v>
      </c>
      <c r="M33" s="75">
        <f t="shared" si="50"/>
        <v>611.05738413433482</v>
      </c>
      <c r="N33" s="75">
        <f t="shared" ref="N33:O33" si="51">N28-$B28</f>
        <v>364.96504760110838</v>
      </c>
      <c r="O33" s="75">
        <f t="shared" si="51"/>
        <v>977.79012674301202</v>
      </c>
      <c r="P33" s="75">
        <f t="shared" ref="P33:Q33" si="52">P28-$B28</f>
        <v>39.168197945711654</v>
      </c>
      <c r="Q33" s="75">
        <f t="shared" si="52"/>
        <v>10.166699586873392</v>
      </c>
      <c r="R33" s="75">
        <f t="shared" ref="R33" si="53">R28-$B28</f>
        <v>460.47264787916038</v>
      </c>
      <c r="S33" s="75"/>
      <c r="T33" s="75"/>
      <c r="U33" s="75">
        <f t="shared" ref="U33" si="54">U28-$T28</f>
        <v>-16.790503384281692</v>
      </c>
      <c r="V33" s="75">
        <f t="shared" ref="V33:AG33" si="55">V28-$T28</f>
        <v>-2.6183673103632827</v>
      </c>
      <c r="W33" s="75">
        <f t="shared" si="55"/>
        <v>-55.831525226930353</v>
      </c>
      <c r="X33" s="75">
        <f t="shared" si="55"/>
        <v>12.828480671716761</v>
      </c>
      <c r="Y33" s="75">
        <f t="shared" si="55"/>
        <v>2.8256446144544043</v>
      </c>
      <c r="Z33" s="75">
        <f t="shared" si="55"/>
        <v>-20.49780887222812</v>
      </c>
      <c r="AA33" s="75">
        <f t="shared" si="55"/>
        <v>-3.2424663656904613</v>
      </c>
      <c r="AB33" s="75">
        <f t="shared" si="55"/>
        <v>-41.425817806462533</v>
      </c>
      <c r="AC33" s="75">
        <f t="shared" si="55"/>
        <v>32.917310850282661</v>
      </c>
      <c r="AD33" s="75">
        <f t="shared" si="55"/>
        <v>37.619697125622906</v>
      </c>
      <c r="AE33" s="75">
        <f t="shared" si="55"/>
        <v>38.354616060075159</v>
      </c>
      <c r="AF33" s="75">
        <f t="shared" si="55"/>
        <v>33.608761701432741</v>
      </c>
      <c r="AG33" s="75">
        <f t="shared" si="55"/>
        <v>73.254454003639466</v>
      </c>
      <c r="AH33" s="75">
        <f>AH28-$T28</f>
        <v>266.81344544776516</v>
      </c>
      <c r="AI33" s="75">
        <f>AI28-$T28</f>
        <v>10.991321620011718</v>
      </c>
      <c r="AJ33" s="75">
        <f>AJ28-$T28</f>
        <v>-10.434257323819338</v>
      </c>
      <c r="AK33" s="75"/>
      <c r="AL33" s="75"/>
      <c r="AM33" s="75"/>
      <c r="AN33" s="75"/>
      <c r="AO33" s="75"/>
    </row>
    <row r="34" spans="1:41" x14ac:dyDescent="0.2">
      <c r="A34" s="3" t="s">
        <v>65</v>
      </c>
      <c r="B34" s="16"/>
      <c r="C34" s="74">
        <f t="shared" ref="C34:I34" si="56">C32/$B$13</f>
        <v>-4.9089769918587703E-3</v>
      </c>
      <c r="D34" s="74">
        <f t="shared" si="56"/>
        <v>-1.1495605772275636E-4</v>
      </c>
      <c r="E34" s="74">
        <f t="shared" si="56"/>
        <v>1.0312567145434845E-5</v>
      </c>
      <c r="F34" s="74">
        <f t="shared" si="56"/>
        <v>-1.1495605772275636E-4</v>
      </c>
      <c r="G34" s="74">
        <f t="shared" si="56"/>
        <v>2.7127521152814327E-5</v>
      </c>
      <c r="H34" s="74">
        <f t="shared" si="56"/>
        <v>8.3910952326415726E-5</v>
      </c>
      <c r="I34" s="74">
        <f t="shared" si="56"/>
        <v>1.0626250878381055E-3</v>
      </c>
      <c r="J34" s="74">
        <f t="shared" ref="J34:K34" si="57">J32/$B$13</f>
        <v>-4.1535708964340404E-3</v>
      </c>
      <c r="K34" s="74">
        <f t="shared" si="57"/>
        <v>1.292069260150057E-3</v>
      </c>
      <c r="L34" s="74">
        <f t="shared" ref="L34:M34" si="58">L32/$B$13</f>
        <v>8.5860804364883844E-5</v>
      </c>
      <c r="M34" s="74">
        <f t="shared" si="58"/>
        <v>9.6213967899961735E-3</v>
      </c>
      <c r="N34" s="74">
        <f t="shared" ref="N34:O34" si="59">N32/$B$13</f>
        <v>4.9957356505635599E-3</v>
      </c>
      <c r="O34" s="74">
        <f t="shared" si="59"/>
        <v>8.8283236256735953E-3</v>
      </c>
      <c r="P34" s="74">
        <f t="shared" ref="P34:Q34" si="60">P32/$B$13</f>
        <v>6.8970358616702901E-5</v>
      </c>
      <c r="Q34" s="74">
        <f t="shared" si="60"/>
        <v>9.5891440063153527E-4</v>
      </c>
      <c r="R34" s="74">
        <f t="shared" ref="R34" si="61">R32/$B$13</f>
        <v>3.9130839716967842E-3</v>
      </c>
      <c r="S34" s="74"/>
      <c r="T34" s="61"/>
      <c r="U34" s="74">
        <f t="shared" ref="U34" si="62">U32/$T$13</f>
        <v>6.9496088384062601E-5</v>
      </c>
      <c r="V34" s="74">
        <f t="shared" ref="V34:AH34" si="63">V32/$T$13</f>
        <v>-3.3901927630772211E-5</v>
      </c>
      <c r="W34" s="74">
        <f t="shared" si="63"/>
        <v>-6.0882485823721328E-4</v>
      </c>
      <c r="X34" s="74">
        <f t="shared" si="63"/>
        <v>-3.3901927630772211E-5</v>
      </c>
      <c r="Y34" s="74">
        <f t="shared" si="63"/>
        <v>1.7685363892646319E-5</v>
      </c>
      <c r="Z34" s="74">
        <f t="shared" si="63"/>
        <v>1.0839521642213663E-5</v>
      </c>
      <c r="AA34" s="74">
        <f t="shared" si="63"/>
        <v>1.5016132301613571E-2</v>
      </c>
      <c r="AB34" s="74">
        <f t="shared" si="63"/>
        <v>-6.7747405420697055E-3</v>
      </c>
      <c r="AC34" s="74">
        <f t="shared" si="63"/>
        <v>8.0871900993162264E-3</v>
      </c>
      <c r="AD34" s="74">
        <f t="shared" si="63"/>
        <v>-2.4281711690682996E-4</v>
      </c>
      <c r="AE34" s="74">
        <f t="shared" si="63"/>
        <v>3.1499164129227122E-4</v>
      </c>
      <c r="AF34" s="74">
        <f t="shared" si="63"/>
        <v>3.7928624776622052E-4</v>
      </c>
      <c r="AG34" s="74">
        <f t="shared" si="63"/>
        <v>5.9890752507985154E-4</v>
      </c>
      <c r="AH34" s="74">
        <f t="shared" si="63"/>
        <v>5.3787354570196833E-4</v>
      </c>
      <c r="AI34" s="74">
        <f t="shared" ref="AI34:AJ34" si="64">AI32/$T$13</f>
        <v>-2.2035437080848157E-3</v>
      </c>
      <c r="AJ34" s="74">
        <f t="shared" si="64"/>
        <v>1.5158195551035251E-4</v>
      </c>
      <c r="AK34" s="74"/>
      <c r="AL34" s="74"/>
      <c r="AM34" s="74"/>
      <c r="AN34" s="74"/>
      <c r="AO34" s="74"/>
    </row>
    <row r="35" spans="1:41" x14ac:dyDescent="0.2">
      <c r="A35" s="3" t="s">
        <v>66</v>
      </c>
      <c r="B35" s="16"/>
      <c r="C35" s="74">
        <f t="shared" ref="C35:I35" si="65">C33/$B$28</f>
        <v>-4.9795255000489765E-2</v>
      </c>
      <c r="D35" s="74">
        <f t="shared" si="65"/>
        <v>-0.1256379939229752</v>
      </c>
      <c r="E35" s="74">
        <f t="shared" si="65"/>
        <v>-0.17087527673722538</v>
      </c>
      <c r="F35" s="74">
        <f t="shared" si="65"/>
        <v>-4.7607314972704116E-2</v>
      </c>
      <c r="G35" s="74">
        <f t="shared" si="65"/>
        <v>3.3422210154024606E-2</v>
      </c>
      <c r="H35" s="74">
        <f t="shared" si="65"/>
        <v>-4.0533590381931772E-3</v>
      </c>
      <c r="I35" s="74">
        <f t="shared" si="65"/>
        <v>-2.8612622925284453E-3</v>
      </c>
      <c r="J35" s="74">
        <f t="shared" ref="J35:K35" si="66">J33/$B$28</f>
        <v>-3.8659183716030772E-3</v>
      </c>
      <c r="K35" s="74">
        <f t="shared" si="66"/>
        <v>2.9467946665279739E-2</v>
      </c>
      <c r="L35" s="74">
        <f t="shared" ref="L35:M35" si="67">L33/$B$28</f>
        <v>0.16712125887506898</v>
      </c>
      <c r="M35" s="74">
        <f t="shared" si="67"/>
        <v>0.37780695745632575</v>
      </c>
      <c r="N35" s="74">
        <f t="shared" ref="N35:O35" si="68">N33/$B$28</f>
        <v>0.22565202187584552</v>
      </c>
      <c r="O35" s="74">
        <f t="shared" si="68"/>
        <v>0.60455191673847786</v>
      </c>
      <c r="P35" s="74">
        <f t="shared" ref="P35:Q35" si="69">P33/$B$28</f>
        <v>2.4217067134996332E-2</v>
      </c>
      <c r="Q35" s="74">
        <f t="shared" si="69"/>
        <v>6.2859069181049349E-3</v>
      </c>
      <c r="R35" s="74">
        <f t="shared" ref="R35" si="70">R33/$B$28</f>
        <v>0.28470283577955768</v>
      </c>
      <c r="S35" s="74"/>
      <c r="T35" s="61"/>
      <c r="U35" s="74">
        <f t="shared" ref="U35" si="71">U33/$T$28</f>
        <v>-2.4725062063639475E-2</v>
      </c>
      <c r="V35" s="74">
        <f t="shared" ref="V35:AG35" si="72">V33/$T$28</f>
        <v>-3.8557089547858435E-3</v>
      </c>
      <c r="W35" s="74">
        <f t="shared" si="72"/>
        <v>-8.221539847553308E-2</v>
      </c>
      <c r="X35" s="74">
        <f t="shared" si="72"/>
        <v>1.8890736836831633E-2</v>
      </c>
      <c r="Y35" s="74">
        <f t="shared" si="72"/>
        <v>4.1609376957439338E-3</v>
      </c>
      <c r="Z35" s="74">
        <f t="shared" si="72"/>
        <v>-3.0184300311621764E-2</v>
      </c>
      <c r="AA35" s="74">
        <f t="shared" si="72"/>
        <v>-4.7747336870204212E-3</v>
      </c>
      <c r="AB35" s="74">
        <f t="shared" si="72"/>
        <v>-6.1002097010424187E-2</v>
      </c>
      <c r="AC35" s="74">
        <f t="shared" si="72"/>
        <v>4.8472790547975E-2</v>
      </c>
      <c r="AD35" s="74">
        <f t="shared" si="72"/>
        <v>5.539734723600357E-2</v>
      </c>
      <c r="AE35" s="74">
        <f t="shared" si="72"/>
        <v>5.6479561142888948E-2</v>
      </c>
      <c r="AF35" s="74">
        <f t="shared" si="72"/>
        <v>4.9490994994700915E-2</v>
      </c>
      <c r="AG35" s="74">
        <f t="shared" si="72"/>
        <v>0.1078717463214099</v>
      </c>
      <c r="AH35" s="74">
        <f>AH33/$T$28</f>
        <v>0.39289941743409512</v>
      </c>
      <c r="AI35" s="74">
        <f>AI33/$T$28</f>
        <v>1.6185405702048176E-2</v>
      </c>
      <c r="AJ35" s="74">
        <f>AJ33/$T$28</f>
        <v>-1.5365093828034432E-2</v>
      </c>
      <c r="AK35" s="74"/>
      <c r="AL35" s="74"/>
      <c r="AM35" s="74"/>
      <c r="AN35" s="74"/>
      <c r="AO35" s="74"/>
    </row>
    <row r="36" spans="1:41" x14ac:dyDescent="0.2">
      <c r="A36" s="3" t="s">
        <v>213</v>
      </c>
      <c r="B36" s="16">
        <f>NPV($A$1,B13:B28)</f>
        <v>9943.2724787504503</v>
      </c>
      <c r="C36" s="16">
        <f t="shared" ref="C36:Q36" si="73">NPV($A$1,C13:C28)</f>
        <v>9823.2874027901908</v>
      </c>
      <c r="D36" s="16">
        <f t="shared" si="73"/>
        <v>9725.950816201268</v>
      </c>
      <c r="E36" s="16">
        <f t="shared" si="73"/>
        <v>9584.9665725318337</v>
      </c>
      <c r="F36" s="16">
        <f t="shared" si="73"/>
        <v>9864.4608068893122</v>
      </c>
      <c r="G36" s="16">
        <f t="shared" si="73"/>
        <v>9949.9896605220238</v>
      </c>
      <c r="H36" s="16">
        <f t="shared" si="73"/>
        <v>9816.8769604926674</v>
      </c>
      <c r="I36" s="16">
        <f t="shared" si="73"/>
        <v>9928.8160850758777</v>
      </c>
      <c r="J36" s="16">
        <f t="shared" si="73"/>
        <v>9812.4830133176984</v>
      </c>
      <c r="K36" s="16">
        <f t="shared" si="73"/>
        <v>10041.047095321908</v>
      </c>
      <c r="L36" s="16">
        <f t="shared" si="73"/>
        <v>10423.482680458901</v>
      </c>
      <c r="M36" s="16">
        <f t="shared" si="73"/>
        <v>11491.148475891381</v>
      </c>
      <c r="N36" s="16">
        <f t="shared" si="73"/>
        <v>10773.956477570211</v>
      </c>
      <c r="O36" s="16">
        <f t="shared" si="73"/>
        <v>12034.920803961577</v>
      </c>
      <c r="P36" s="16">
        <f t="shared" si="73"/>
        <v>9964.3136992908567</v>
      </c>
      <c r="Q36" s="16">
        <f t="shared" si="73"/>
        <v>9942.772192860295</v>
      </c>
      <c r="R36" s="16">
        <f t="shared" ref="R36" si="74">NPV($A$1,R13:R28)</f>
        <v>10488.671452404544</v>
      </c>
      <c r="S36" s="74"/>
      <c r="T36" s="16">
        <f>NPV($A$1,T13:T28)</f>
        <v>4577.212062628917</v>
      </c>
      <c r="U36" s="16">
        <f t="shared" ref="U36:AI36" si="75">NPV($A$1,U13:U28)</f>
        <v>4569.5787842422396</v>
      </c>
      <c r="V36" s="16">
        <f t="shared" si="75"/>
        <v>4585.4711415715965</v>
      </c>
      <c r="W36" s="16">
        <f t="shared" si="75"/>
        <v>4475.1716988852631</v>
      </c>
      <c r="X36" s="16">
        <f t="shared" si="75"/>
        <v>4632.9372119501049</v>
      </c>
      <c r="Y36" s="16">
        <f t="shared" si="75"/>
        <v>4569.5900337039366</v>
      </c>
      <c r="Z36" s="16">
        <f t="shared" si="75"/>
        <v>4548.4328839639747</v>
      </c>
      <c r="AA36" s="16">
        <f t="shared" si="75"/>
        <v>4602.3452505017003</v>
      </c>
      <c r="AB36" s="16">
        <f t="shared" si="75"/>
        <v>4454.9714238971028</v>
      </c>
      <c r="AC36" s="16">
        <f t="shared" si="75"/>
        <v>4697.304561756614</v>
      </c>
      <c r="AD36" s="16">
        <f t="shared" si="75"/>
        <v>4619.9182129626988</v>
      </c>
      <c r="AE36" s="16">
        <f t="shared" si="75"/>
        <v>4663.6421939585207</v>
      </c>
      <c r="AF36" s="16">
        <f t="shared" si="75"/>
        <v>4600.9772975298602</v>
      </c>
      <c r="AG36" s="16">
        <f t="shared" si="75"/>
        <v>4715.9780161324688</v>
      </c>
      <c r="AH36" s="16">
        <f t="shared" si="75"/>
        <v>4751.081349214699</v>
      </c>
      <c r="AI36" s="16">
        <f t="shared" si="75"/>
        <v>4615.0058626650698</v>
      </c>
      <c r="AJ36" s="16">
        <f t="shared" ref="AJ36" si="76">NPV($A$1,AJ13:AJ28)</f>
        <v>4556.7613235344315</v>
      </c>
      <c r="AK36" s="74"/>
      <c r="AL36" s="74"/>
      <c r="AM36" s="74"/>
      <c r="AN36" s="74"/>
      <c r="AO36" s="74"/>
    </row>
    <row r="37" spans="1:41" x14ac:dyDescent="0.2">
      <c r="A37" s="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</row>
    <row r="38" spans="1:41" s="69" customFormat="1" ht="15" x14ac:dyDescent="0.25">
      <c r="A38" s="69" t="s">
        <v>63</v>
      </c>
    </row>
    <row r="39" spans="1:41" s="70" customFormat="1" ht="85.5" x14ac:dyDescent="0.2">
      <c r="B39" s="70" t="str">
        <f t="shared" ref="B39:G39" si="77">B3</f>
        <v>1- Preferred Resource Strategy</v>
      </c>
      <c r="C39" s="70" t="str">
        <f t="shared" si="77"/>
        <v>2- Alternative Lowest Reasonable Cost Portfolio</v>
      </c>
      <c r="D39" s="70" t="str">
        <f t="shared" si="77"/>
        <v>3- Baseline Portfolio</v>
      </c>
      <c r="E39" s="70" t="str">
        <f t="shared" si="77"/>
        <v>4- No Resource Additions</v>
      </c>
      <c r="F39" s="60" t="str">
        <f>'Scenario List'!$A$7</f>
        <v>5- No CETA/ No new NG</v>
      </c>
      <c r="G39" s="70" t="str">
        <f t="shared" si="77"/>
        <v>6- WRAP PRM</v>
      </c>
      <c r="H39" s="60" t="str">
        <f>'Scenario List'!$A$9</f>
        <v>7- WRAP PRM No QCC Changes</v>
      </c>
      <c r="I39" s="60" t="str">
        <f>'Scenario List'!$A$10</f>
        <v>8- VERs Assigned to Washington</v>
      </c>
      <c r="J39" s="60" t="str">
        <f>'Scenario List'!$A$11</f>
        <v>9- Low Economic Growth Loads</v>
      </c>
      <c r="K39" s="60" t="str">
        <f>'Scenario List'!$A$12</f>
        <v>10- High Economic Growth Loads</v>
      </c>
      <c r="L39" s="60" t="str">
        <f>'Scenario List'!$A$13</f>
        <v>11- High Electric Vehicle Growth</v>
      </c>
      <c r="M39" s="60" t="str">
        <f>'Scenario List'!$A$14</f>
        <v>12- WA Space/ Water Electrification</v>
      </c>
      <c r="N39" s="60" t="str">
        <f>'Scenario List'!$A$15</f>
        <v>13- WA Space/ Water Electrification w/NG Backup</v>
      </c>
      <c r="O39" s="60" t="str">
        <f>'Scenario List'!$A$16</f>
        <v>14- Combined Electrification</v>
      </c>
      <c r="P39" s="60" t="str">
        <f>'Scenario List'!$A$17</f>
        <v>15- Clean Portfolio by 2045</v>
      </c>
      <c r="Q39" s="125" t="str">
        <f>'Scenario List'!$A$18</f>
        <v>16- Social Cost Included for Idaho</v>
      </c>
      <c r="R39" s="125" t="str">
        <f>'Scenario List'!$A$19</f>
        <v>17- WA Maximum Customer Benefits</v>
      </c>
      <c r="T39" s="60" t="str">
        <f>'Scenario List'!$A$3</f>
        <v>1- Preferred Resource Strategy</v>
      </c>
      <c r="U39" s="60" t="str">
        <f>'Scenario List'!$A$4</f>
        <v>2- Alternative Lowest Reasonable Cost Portfolio</v>
      </c>
      <c r="V39" s="60" t="str">
        <f>'Scenario List'!$A$5</f>
        <v>3- Baseline Portfolio</v>
      </c>
      <c r="W39" s="60" t="str">
        <f>'Scenario List'!$A$6</f>
        <v>4- No Resource Additions</v>
      </c>
      <c r="X39" s="60" t="str">
        <f>'Scenario List'!$A$7</f>
        <v>5- No CETA/ No new NG</v>
      </c>
      <c r="Y39" s="60" t="str">
        <f>'Scenario List'!$A$8</f>
        <v>6- WRAP PRM</v>
      </c>
      <c r="Z39" s="60" t="str">
        <f>'Scenario List'!$A$9</f>
        <v>7- WRAP PRM No QCC Changes</v>
      </c>
      <c r="AA39" s="60" t="str">
        <f>'Scenario List'!$A$10</f>
        <v>8- VERs Assigned to Washington</v>
      </c>
      <c r="AB39" s="60" t="str">
        <f>'Scenario List'!$A$11</f>
        <v>9- Low Economic Growth Loads</v>
      </c>
      <c r="AC39" s="60" t="str">
        <f>'Scenario List'!$A$12</f>
        <v>10- High Economic Growth Loads</v>
      </c>
      <c r="AD39" s="60" t="str">
        <f>'Scenario List'!$A$13</f>
        <v>11- High Electric Vehicle Growth</v>
      </c>
      <c r="AE39" s="60" t="str">
        <f>'Scenario List'!$A$14</f>
        <v>12- WA Space/ Water Electrification</v>
      </c>
      <c r="AF39" s="60" t="str">
        <f>'Scenario List'!$A$15</f>
        <v>13- WA Space/ Water Electrification w/NG Backup</v>
      </c>
      <c r="AG39" s="60" t="str">
        <f>'Scenario List'!$A$16</f>
        <v>14- Combined Electrification</v>
      </c>
      <c r="AH39" s="60" t="str">
        <f>'Scenario List'!$A$17</f>
        <v>15- Clean Portfolio by 2045</v>
      </c>
      <c r="AI39" s="125" t="str">
        <f>'Scenario List'!$A$18</f>
        <v>16- Social Cost Included for Idaho</v>
      </c>
      <c r="AJ39" s="125" t="str">
        <f>'Scenario List'!$A$19</f>
        <v>17- WA Maximum Customer Benefits</v>
      </c>
      <c r="AN39" s="64"/>
      <c r="AO39" s="64"/>
    </row>
    <row r="40" spans="1:41" x14ac:dyDescent="0.2">
      <c r="A40" s="2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</row>
    <row r="41" spans="1:41" x14ac:dyDescent="0.2">
      <c r="A41" s="2">
        <v>2023</v>
      </c>
      <c r="B41" s="71">
        <f>'Summary Data'!J4</f>
        <v>0.11228217775301008</v>
      </c>
      <c r="C41" s="71">
        <f>'Summary Data'!J32</f>
        <v>0.11223843335017522</v>
      </c>
      <c r="D41" s="71">
        <f>'Summary Data'!J61</f>
        <v>0.11228217775301841</v>
      </c>
      <c r="E41" s="71">
        <f>'Summary Data'!J91</f>
        <v>0.11228217775301008</v>
      </c>
      <c r="F41" s="71">
        <f>'Summary Data'!J118</f>
        <v>0.11228217775301841</v>
      </c>
      <c r="G41" s="71">
        <f>'Summary Data'!J145</f>
        <v>0.11228410762787934</v>
      </c>
      <c r="H41" s="71">
        <f>'Summary Data'!J172</f>
        <v>0.11228482418853475</v>
      </c>
      <c r="I41" s="71">
        <f>'Summary Data'!J199</f>
        <v>0.1122848283173548</v>
      </c>
      <c r="J41" s="71">
        <f>'Summary Data'!J226</f>
        <v>0.11228217775301008</v>
      </c>
      <c r="K41" s="71">
        <f>'Summary Data'!J253</f>
        <v>0.11228217775301008</v>
      </c>
      <c r="L41" s="71">
        <f>'Summary Data'!J280</f>
        <v>0.11226742477808174</v>
      </c>
      <c r="M41" s="71">
        <f>'Summary Data'!J307</f>
        <v>0.11199763544432119</v>
      </c>
      <c r="N41" s="71">
        <f>'Summary Data'!J334</f>
        <v>0.11208729703824225</v>
      </c>
      <c r="O41" s="71">
        <f>'Summary Data'!J361</f>
        <v>0.11200320692684362</v>
      </c>
      <c r="P41" s="71">
        <f>'Summary Data'!J388</f>
        <v>0.11228499615040641</v>
      </c>
      <c r="Q41" s="71">
        <f>'Summary Data'!J415</f>
        <v>0.11264092562500479</v>
      </c>
      <c r="R41" s="71">
        <f>'Summary Data'!J442</f>
        <v>0.11233518330791811</v>
      </c>
      <c r="S41" s="71"/>
      <c r="T41" s="71">
        <f>'Summary Data'!K4</f>
        <v>0.10242299380892764</v>
      </c>
      <c r="U41" s="71">
        <f>'Summary Data'!K32</f>
        <v>0.10243259014406417</v>
      </c>
      <c r="V41" s="71">
        <f>'Summary Data'!K61</f>
        <v>0.10242299380892764</v>
      </c>
      <c r="W41" s="71">
        <f>'Summary Data'!K91</f>
        <v>0.10242299380892764</v>
      </c>
      <c r="X41" s="71">
        <f>'Summary Data'!K118</f>
        <v>0.10242299380892764</v>
      </c>
      <c r="Y41" s="71">
        <f>'Summary Data'!K145</f>
        <v>0.10242397045023439</v>
      </c>
      <c r="Z41" s="71">
        <f>'Summary Data'!K172</f>
        <v>0.10242431885250959</v>
      </c>
      <c r="AA41" s="71">
        <f>'Summary Data'!K199</f>
        <v>0.10242386039941474</v>
      </c>
      <c r="AB41" s="71">
        <f>'Summary Data'!K226</f>
        <v>0.10242299380892764</v>
      </c>
      <c r="AC41" s="71">
        <f>'Summary Data'!K253</f>
        <v>0.10242299380892764</v>
      </c>
      <c r="AD41" s="71">
        <f>'Summary Data'!K280</f>
        <v>0.10241235012210727</v>
      </c>
      <c r="AE41" s="71">
        <f>'Summary Data'!K307</f>
        <v>0.10241087075091672</v>
      </c>
      <c r="AF41" s="71">
        <f>'Summary Data'!K334</f>
        <v>0.10241950543818508</v>
      </c>
      <c r="AG41" s="71">
        <f>'Summary Data'!K361</f>
        <v>0.10241232859261967</v>
      </c>
      <c r="AH41" s="71">
        <f>'Summary Data'!K388</f>
        <v>0.10244200424070973</v>
      </c>
      <c r="AI41" s="71">
        <f>'Summary Data'!K415</f>
        <v>0.10170536450520536</v>
      </c>
      <c r="AJ41" s="71">
        <f>'Summary Data'!K442</f>
        <v>0.10242043684339118</v>
      </c>
      <c r="AK41" s="71"/>
      <c r="AL41" s="71"/>
      <c r="AM41" s="71"/>
    </row>
    <row r="42" spans="1:41" x14ac:dyDescent="0.2">
      <c r="A42" s="2">
        <v>2024</v>
      </c>
      <c r="B42" s="71">
        <f>'Summary Data'!J5</f>
        <v>0.11356376331802349</v>
      </c>
      <c r="C42" s="71">
        <f>'Summary Data'!J33</f>
        <v>0.11346594624815327</v>
      </c>
      <c r="D42" s="71">
        <f>'Summary Data'!J62</f>
        <v>0.1135649664430529</v>
      </c>
      <c r="E42" s="71">
        <f>'Summary Data'!J92</f>
        <v>0.11356496644303633</v>
      </c>
      <c r="F42" s="71">
        <f>'Summary Data'!J119</f>
        <v>0.1135649664430529</v>
      </c>
      <c r="G42" s="71">
        <f>'Summary Data'!J146</f>
        <v>0.11356834866717962</v>
      </c>
      <c r="H42" s="71">
        <f>'Summary Data'!J173</f>
        <v>0.11357068653011082</v>
      </c>
      <c r="I42" s="71">
        <f>'Summary Data'!J200</f>
        <v>0.11357047378890935</v>
      </c>
      <c r="J42" s="71">
        <f>'Summary Data'!J227</f>
        <v>0.11356376331802349</v>
      </c>
      <c r="K42" s="71">
        <f>'Summary Data'!J254</f>
        <v>0.11356376331192386</v>
      </c>
      <c r="L42" s="71">
        <f>'Summary Data'!J281</f>
        <v>0.11355859680297414</v>
      </c>
      <c r="M42" s="71">
        <f>'Summary Data'!J308</f>
        <v>0.11328077369127097</v>
      </c>
      <c r="N42" s="71">
        <f>'Summary Data'!J335</f>
        <v>0.11340960293139046</v>
      </c>
      <c r="O42" s="71">
        <f>'Summary Data'!J362</f>
        <v>0.11333022264336344</v>
      </c>
      <c r="P42" s="71">
        <f>'Summary Data'!J389</f>
        <v>0.11357093334512991</v>
      </c>
      <c r="Q42" s="71">
        <f>'Summary Data'!J416</f>
        <v>0.11393168436501203</v>
      </c>
      <c r="R42" s="71">
        <f>'Summary Data'!J443</f>
        <v>0.1137121136811545</v>
      </c>
      <c r="S42" s="71"/>
      <c r="T42" s="71">
        <f>'Summary Data'!K5</f>
        <v>0.10392305090030773</v>
      </c>
      <c r="U42" s="71">
        <f>'Summary Data'!K33</f>
        <v>0.10394554864092911</v>
      </c>
      <c r="V42" s="71">
        <f>'Summary Data'!K62</f>
        <v>0.10392256496909974</v>
      </c>
      <c r="W42" s="71">
        <f>'Summary Data'!K92</f>
        <v>0.10392256496909974</v>
      </c>
      <c r="X42" s="71">
        <f>'Summary Data'!K119</f>
        <v>0.10392256496909974</v>
      </c>
      <c r="Y42" s="71">
        <f>'Summary Data'!K146</f>
        <v>0.10392524685871651</v>
      </c>
      <c r="Z42" s="71">
        <f>'Summary Data'!K173</f>
        <v>0.10392610734268705</v>
      </c>
      <c r="AA42" s="71">
        <f>'Summary Data'!K200</f>
        <v>0.10392490485857586</v>
      </c>
      <c r="AB42" s="71">
        <f>'Summary Data'!K227</f>
        <v>0.10392305090030773</v>
      </c>
      <c r="AC42" s="71">
        <f>'Summary Data'!K254</f>
        <v>0.10392305090277133</v>
      </c>
      <c r="AD42" s="71">
        <f>'Summary Data'!K281</f>
        <v>0.10392301855635501</v>
      </c>
      <c r="AE42" s="71">
        <f>'Summary Data'!K308</f>
        <v>0.10391822307932783</v>
      </c>
      <c r="AF42" s="71">
        <f>'Summary Data'!K335</f>
        <v>0.10393289116304277</v>
      </c>
      <c r="AG42" s="71">
        <f>'Summary Data'!K362</f>
        <v>0.10393916365158347</v>
      </c>
      <c r="AH42" s="71">
        <f>'Summary Data'!K389</f>
        <v>0.10397062899043438</v>
      </c>
      <c r="AI42" s="71">
        <f>'Summary Data'!K416</f>
        <v>0.10318564409527113</v>
      </c>
      <c r="AJ42" s="71">
        <f>'Summary Data'!K443</f>
        <v>0.10391766018940336</v>
      </c>
      <c r="AK42" s="71"/>
      <c r="AL42" s="71"/>
      <c r="AM42" s="71"/>
    </row>
    <row r="43" spans="1:41" x14ac:dyDescent="0.2">
      <c r="A43" s="2">
        <v>2025</v>
      </c>
      <c r="B43" s="71">
        <f>'Summary Data'!J6</f>
        <v>0.11700757681961146</v>
      </c>
      <c r="C43" s="71">
        <f>'Summary Data'!J34</f>
        <v>0.11684137918632143</v>
      </c>
      <c r="D43" s="71">
        <f>'Summary Data'!J63</f>
        <v>0.11700735406239808</v>
      </c>
      <c r="E43" s="71">
        <f>'Summary Data'!J93</f>
        <v>0.11693326049721739</v>
      </c>
      <c r="F43" s="71">
        <f>'Summary Data'!J120</f>
        <v>0.11700735406239808</v>
      </c>
      <c r="G43" s="71">
        <f>'Summary Data'!J147</f>
        <v>0.11701606431074303</v>
      </c>
      <c r="H43" s="71">
        <f>'Summary Data'!J174</f>
        <v>0.1170218045214349</v>
      </c>
      <c r="I43" s="71">
        <f>'Summary Data'!J201</f>
        <v>0.117020922705363</v>
      </c>
      <c r="J43" s="71">
        <f>'Summary Data'!J228</f>
        <v>0.11700757681961146</v>
      </c>
      <c r="K43" s="71">
        <f>'Summary Data'!J255</f>
        <v>0.11700757681994728</v>
      </c>
      <c r="L43" s="71">
        <f>'Summary Data'!J282</f>
        <v>0.117001358327428</v>
      </c>
      <c r="M43" s="71">
        <f>'Summary Data'!J309</f>
        <v>0.11666306670845659</v>
      </c>
      <c r="N43" s="71">
        <f>'Summary Data'!J336</f>
        <v>0.11685387162233529</v>
      </c>
      <c r="O43" s="71">
        <f>'Summary Data'!J363</f>
        <v>0.11676893763449683</v>
      </c>
      <c r="P43" s="71">
        <f>'Summary Data'!J390</f>
        <v>0.11702188390976981</v>
      </c>
      <c r="Q43" s="71">
        <f>'Summary Data'!J417</f>
        <v>0.11737210253850229</v>
      </c>
      <c r="R43" s="71">
        <f>'Summary Data'!J444</f>
        <v>0.11726889578255603</v>
      </c>
      <c r="S43" s="71"/>
      <c r="T43" s="71">
        <f>'Summary Data'!K6</f>
        <v>0.10610308494819198</v>
      </c>
      <c r="U43" s="71">
        <f>'Summary Data'!K34</f>
        <v>0.10613308335153807</v>
      </c>
      <c r="V43" s="71">
        <f>'Summary Data'!K63</f>
        <v>0.10610208589460492</v>
      </c>
      <c r="W43" s="71">
        <f>'Summary Data'!K93</f>
        <v>0.10610208589460492</v>
      </c>
      <c r="X43" s="71">
        <f>'Summary Data'!K120</f>
        <v>0.10610208589460492</v>
      </c>
      <c r="Y43" s="71">
        <f>'Summary Data'!K147</f>
        <v>0.10610696672099118</v>
      </c>
      <c r="Z43" s="71">
        <f>'Summary Data'!K174</f>
        <v>0.10610863446247044</v>
      </c>
      <c r="AA43" s="71">
        <f>'Summary Data'!K201</f>
        <v>0.10610616136687907</v>
      </c>
      <c r="AB43" s="71">
        <f>'Summary Data'!K228</f>
        <v>0.10610308494819198</v>
      </c>
      <c r="AC43" s="71">
        <f>'Summary Data'!K255</f>
        <v>0.10610308495065356</v>
      </c>
      <c r="AD43" s="71">
        <f>'Summary Data'!K282</f>
        <v>0.10610465008864771</v>
      </c>
      <c r="AE43" s="71">
        <f>'Summary Data'!K309</f>
        <v>0.10609621249011712</v>
      </c>
      <c r="AF43" s="71">
        <f>'Summary Data'!K336</f>
        <v>0.10612228997126234</v>
      </c>
      <c r="AG43" s="71">
        <f>'Summary Data'!K363</f>
        <v>0.10612597703455298</v>
      </c>
      <c r="AH43" s="71">
        <f>'Summary Data'!K390</f>
        <v>0.10618233768345287</v>
      </c>
      <c r="AI43" s="71">
        <f>'Summary Data'!K417</f>
        <v>0.10537370534253775</v>
      </c>
      <c r="AJ43" s="71">
        <f>'Summary Data'!K444</f>
        <v>0.10609763597058608</v>
      </c>
      <c r="AK43" s="71"/>
      <c r="AL43" s="71"/>
      <c r="AM43" s="71"/>
    </row>
    <row r="44" spans="1:41" x14ac:dyDescent="0.2">
      <c r="A44" s="2">
        <v>2026</v>
      </c>
      <c r="B44" s="71">
        <f>'Summary Data'!J7</f>
        <v>0.11922333229143015</v>
      </c>
      <c r="C44" s="71">
        <f>'Summary Data'!J35</f>
        <v>0.11897574679829936</v>
      </c>
      <c r="D44" s="71">
        <f>'Summary Data'!J64</f>
        <v>0.11922091741319368</v>
      </c>
      <c r="E44" s="71">
        <f>'Summary Data'!J94</f>
        <v>0.1191568879152077</v>
      </c>
      <c r="F44" s="71">
        <f>'Summary Data'!J121</f>
        <v>0.11922091741319368</v>
      </c>
      <c r="G44" s="71">
        <f>'Summary Data'!J148</f>
        <v>0.11923083197891172</v>
      </c>
      <c r="H44" s="71">
        <f>'Summary Data'!J175</f>
        <v>0.1192422128457339</v>
      </c>
      <c r="I44" s="71">
        <f>'Summary Data'!J202</f>
        <v>0.1193817423039473</v>
      </c>
      <c r="J44" s="71">
        <f>'Summary Data'!J229</f>
        <v>0.11922333229143015</v>
      </c>
      <c r="K44" s="71">
        <f>'Summary Data'!J256</f>
        <v>0.11922333229492928</v>
      </c>
      <c r="L44" s="71">
        <f>'Summary Data'!J283</f>
        <v>0.11921698713109287</v>
      </c>
      <c r="M44" s="71">
        <f>'Summary Data'!J310</f>
        <v>0.11880107638847155</v>
      </c>
      <c r="N44" s="71">
        <f>'Summary Data'!J337</f>
        <v>0.11905331445016376</v>
      </c>
      <c r="O44" s="71">
        <f>'Summary Data'!J364</f>
        <v>0.11897714397283853</v>
      </c>
      <c r="P44" s="71">
        <f>'Summary Data'!J391</f>
        <v>0.11927261349846675</v>
      </c>
      <c r="Q44" s="71">
        <f>'Summary Data'!J418</f>
        <v>0.11961577221095016</v>
      </c>
      <c r="R44" s="71">
        <f>'Summary Data'!J445</f>
        <v>0.11960790910713866</v>
      </c>
      <c r="S44" s="71"/>
      <c r="T44" s="71">
        <f>'Summary Data'!K7</f>
        <v>0.11026899263578525</v>
      </c>
      <c r="U44" s="71">
        <f>'Summary Data'!K35</f>
        <v>0.11031610323139272</v>
      </c>
      <c r="V44" s="71">
        <f>'Summary Data'!K64</f>
        <v>0.11026743453345345</v>
      </c>
      <c r="W44" s="71">
        <f>'Summary Data'!K94</f>
        <v>0.11026743453345345</v>
      </c>
      <c r="X44" s="71">
        <f>'Summary Data'!K121</f>
        <v>0.11026743453345345</v>
      </c>
      <c r="Y44" s="71">
        <f>'Summary Data'!K148</f>
        <v>0.11026513249767424</v>
      </c>
      <c r="Z44" s="71">
        <f>'Summary Data'!K175</f>
        <v>0.1102679254675666</v>
      </c>
      <c r="AA44" s="71">
        <f>'Summary Data'!K202</f>
        <v>0.11236992899755251</v>
      </c>
      <c r="AB44" s="71">
        <f>'Summary Data'!K229</f>
        <v>0.11026899263578525</v>
      </c>
      <c r="AC44" s="71">
        <f>'Summary Data'!K256</f>
        <v>0.11026899263826818</v>
      </c>
      <c r="AD44" s="71">
        <f>'Summary Data'!K283</f>
        <v>0.11027119345336329</v>
      </c>
      <c r="AE44" s="71">
        <f>'Summary Data'!K310</f>
        <v>0.11029195566338609</v>
      </c>
      <c r="AF44" s="71">
        <f>'Summary Data'!K337</f>
        <v>0.11031307344270994</v>
      </c>
      <c r="AG44" s="71">
        <f>'Summary Data'!K364</f>
        <v>0.11034574615729291</v>
      </c>
      <c r="AH44" s="71">
        <f>'Summary Data'!K391</f>
        <v>0.11034740050396617</v>
      </c>
      <c r="AI44" s="71">
        <f>'Summary Data'!K418</f>
        <v>0.10948420361569056</v>
      </c>
      <c r="AJ44" s="71">
        <f>'Summary Data'!K445</f>
        <v>0.11026243049636456</v>
      </c>
      <c r="AK44" s="71"/>
      <c r="AL44" s="71"/>
      <c r="AM44" s="71"/>
    </row>
    <row r="45" spans="1:41" x14ac:dyDescent="0.2">
      <c r="A45" s="2">
        <v>2027</v>
      </c>
      <c r="B45" s="71">
        <f>'Summary Data'!J8</f>
        <v>0.12181938165817542</v>
      </c>
      <c r="C45" s="71">
        <f>'Summary Data'!J36</f>
        <v>0.12148106731253508</v>
      </c>
      <c r="D45" s="71">
        <f>'Summary Data'!J65</f>
        <v>0.1218124024499784</v>
      </c>
      <c r="E45" s="71">
        <f>'Summary Data'!J95</f>
        <v>0.12176772148638947</v>
      </c>
      <c r="F45" s="71">
        <f>'Summary Data'!J122</f>
        <v>0.1218124024499784</v>
      </c>
      <c r="G45" s="71">
        <f>'Summary Data'!J149</f>
        <v>0.12183255327789125</v>
      </c>
      <c r="H45" s="71">
        <f>'Summary Data'!J176</f>
        <v>0.12185272141079447</v>
      </c>
      <c r="I45" s="71">
        <f>'Summary Data'!J203</f>
        <v>0.12198897653253318</v>
      </c>
      <c r="J45" s="71">
        <f>'Summary Data'!J230</f>
        <v>0.12244900966255066</v>
      </c>
      <c r="K45" s="71">
        <f>'Summary Data'!J257</f>
        <v>0.12202115362477796</v>
      </c>
      <c r="L45" s="71">
        <f>'Summary Data'!J284</f>
        <v>0.12181467140174565</v>
      </c>
      <c r="M45" s="71">
        <f>'Summary Data'!J311</f>
        <v>0.12120688818831954</v>
      </c>
      <c r="N45" s="71">
        <f>'Summary Data'!J338</f>
        <v>0.12155433703608276</v>
      </c>
      <c r="O45" s="71">
        <f>'Summary Data'!J365</f>
        <v>0.12146763911901842</v>
      </c>
      <c r="P45" s="71">
        <f>'Summary Data'!J392</f>
        <v>0.12185727641345324</v>
      </c>
      <c r="Q45" s="71">
        <f>'Summary Data'!J419</f>
        <v>0.1219138765986575</v>
      </c>
      <c r="R45" s="71">
        <f>'Summary Data'!J446</f>
        <v>0.12233339542221923</v>
      </c>
      <c r="S45" s="71"/>
      <c r="T45" s="71">
        <f>'Summary Data'!K8</f>
        <v>0.11085816184377968</v>
      </c>
      <c r="U45" s="71">
        <f>'Summary Data'!K36</f>
        <v>0.11092377158234974</v>
      </c>
      <c r="V45" s="71">
        <f>'Summary Data'!K65</f>
        <v>0.11085603299694428</v>
      </c>
      <c r="W45" s="71">
        <f>'Summary Data'!K95</f>
        <v>0.11085603299694428</v>
      </c>
      <c r="X45" s="71">
        <f>'Summary Data'!K122</f>
        <v>0.11085603299694428</v>
      </c>
      <c r="Y45" s="71">
        <f>'Summary Data'!K149</f>
        <v>0.1108568447301356</v>
      </c>
      <c r="Z45" s="71">
        <f>'Summary Data'!K176</f>
        <v>0.11086103145777365</v>
      </c>
      <c r="AA45" s="71">
        <f>'Summary Data'!K203</f>
        <v>0.11290060971386981</v>
      </c>
      <c r="AB45" s="71">
        <f>'Summary Data'!K230</f>
        <v>0.11126928654901043</v>
      </c>
      <c r="AC45" s="71">
        <f>'Summary Data'!K257</f>
        <v>0.11038000486709196</v>
      </c>
      <c r="AD45" s="71">
        <f>'Summary Data'!K284</f>
        <v>0.11086179490312843</v>
      </c>
      <c r="AE45" s="71">
        <f>'Summary Data'!K311</f>
        <v>0.11089514332790078</v>
      </c>
      <c r="AF45" s="71">
        <f>'Summary Data'!K338</f>
        <v>0.11092331457195127</v>
      </c>
      <c r="AG45" s="71">
        <f>'Summary Data'!K365</f>
        <v>0.11097298583704147</v>
      </c>
      <c r="AH45" s="71">
        <f>'Summary Data'!K392</f>
        <v>0.1110454412579422</v>
      </c>
      <c r="AI45" s="71">
        <f>'Summary Data'!K419</f>
        <v>0.11068161724212446</v>
      </c>
      <c r="AJ45" s="71">
        <f>'Summary Data'!K446</f>
        <v>0.11085023157330776</v>
      </c>
      <c r="AK45" s="71"/>
      <c r="AL45" s="71"/>
      <c r="AM45" s="71"/>
    </row>
    <row r="46" spans="1:41" x14ac:dyDescent="0.2">
      <c r="A46" s="2">
        <v>2028</v>
      </c>
      <c r="B46" s="71">
        <f>'Summary Data'!J9</f>
        <v>0.12555491290508478</v>
      </c>
      <c r="C46" s="71">
        <f>'Summary Data'!J37</f>
        <v>0.12511627157515917</v>
      </c>
      <c r="D46" s="71">
        <f>'Summary Data'!J66</f>
        <v>0.12554421170370228</v>
      </c>
      <c r="E46" s="71">
        <f>'Summary Data'!J96</f>
        <v>0.12550765525943827</v>
      </c>
      <c r="F46" s="71">
        <f>'Summary Data'!J123</f>
        <v>0.12554421170370228</v>
      </c>
      <c r="G46" s="71">
        <f>'Summary Data'!J150</f>
        <v>0.1255745689192945</v>
      </c>
      <c r="H46" s="71">
        <f>'Summary Data'!J177</f>
        <v>0.12560689877701361</v>
      </c>
      <c r="I46" s="71">
        <f>'Summary Data'!J204</f>
        <v>0.12573859671028009</v>
      </c>
      <c r="J46" s="71">
        <f>'Summary Data'!J231</f>
        <v>0.12643392954935845</v>
      </c>
      <c r="K46" s="71">
        <f>'Summary Data'!J258</f>
        <v>0.12555226360564772</v>
      </c>
      <c r="L46" s="71">
        <f>'Summary Data'!J285</f>
        <v>0.12555410572817016</v>
      </c>
      <c r="M46" s="71">
        <f>'Summary Data'!J312</f>
        <v>0.12463309629575571</v>
      </c>
      <c r="N46" s="71">
        <f>'Summary Data'!J339</f>
        <v>0.12511457923972086</v>
      </c>
      <c r="O46" s="71">
        <f>'Summary Data'!J366</f>
        <v>0.12498917125565168</v>
      </c>
      <c r="P46" s="71">
        <f>'Summary Data'!J393</f>
        <v>0.12561046813882029</v>
      </c>
      <c r="Q46" s="71">
        <f>'Summary Data'!J420</f>
        <v>0.12566663272426432</v>
      </c>
      <c r="R46" s="71">
        <f>'Summary Data'!J447</f>
        <v>0.12619812399972791</v>
      </c>
      <c r="S46" s="71"/>
      <c r="T46" s="71">
        <f>'Summary Data'!K9</f>
        <v>0.112930258351195</v>
      </c>
      <c r="U46" s="71">
        <f>'Summary Data'!K37</f>
        <v>0.11301546473738587</v>
      </c>
      <c r="V46" s="71">
        <f>'Summary Data'!K66</f>
        <v>0.11292752789138195</v>
      </c>
      <c r="W46" s="71">
        <f>'Summary Data'!K96</f>
        <v>0.11292752789138195</v>
      </c>
      <c r="X46" s="71">
        <f>'Summary Data'!K123</f>
        <v>0.11292752789138195</v>
      </c>
      <c r="Y46" s="71">
        <f>'Summary Data'!K150</f>
        <v>0.11293175259072039</v>
      </c>
      <c r="Z46" s="71">
        <f>'Summary Data'!K177</f>
        <v>0.11293769535857283</v>
      </c>
      <c r="AA46" s="71">
        <f>'Summary Data'!K204</f>
        <v>0.11490164649700152</v>
      </c>
      <c r="AB46" s="71">
        <f>'Summary Data'!K231</f>
        <v>0.11377825048462135</v>
      </c>
      <c r="AC46" s="71">
        <f>'Summary Data'!K258</f>
        <v>0.11203204574991327</v>
      </c>
      <c r="AD46" s="71">
        <f>'Summary Data'!K285</f>
        <v>0.11293537719811218</v>
      </c>
      <c r="AE46" s="71">
        <f>'Summary Data'!K312</f>
        <v>0.11298689309636339</v>
      </c>
      <c r="AF46" s="71">
        <f>'Summary Data'!K339</f>
        <v>0.11302163491965342</v>
      </c>
      <c r="AG46" s="71">
        <f>'Summary Data'!K366</f>
        <v>0.11309250881330271</v>
      </c>
      <c r="AH46" s="71">
        <f>'Summary Data'!K393</f>
        <v>0.11317964739577419</v>
      </c>
      <c r="AI46" s="71">
        <f>'Summary Data'!K420</f>
        <v>0.11272019457868776</v>
      </c>
      <c r="AJ46" s="71">
        <f>'Summary Data'!K447</f>
        <v>0.11292144927226221</v>
      </c>
      <c r="AK46" s="71"/>
      <c r="AL46" s="71"/>
      <c r="AM46" s="71"/>
    </row>
    <row r="47" spans="1:41" x14ac:dyDescent="0.2">
      <c r="A47" s="2">
        <v>2029</v>
      </c>
      <c r="B47" s="71">
        <f>'Summary Data'!J10</f>
        <v>0.12903773791849518</v>
      </c>
      <c r="C47" s="71">
        <f>'Summary Data'!J38</f>
        <v>0.12849487604623477</v>
      </c>
      <c r="D47" s="71">
        <f>'Summary Data'!J67</f>
        <v>0.12902342921451221</v>
      </c>
      <c r="E47" s="71">
        <f>'Summary Data'!J97</f>
        <v>0.12899311306333219</v>
      </c>
      <c r="F47" s="71">
        <f>'Summary Data'!J124</f>
        <v>0.12902342921451221</v>
      </c>
      <c r="G47" s="71">
        <f>'Summary Data'!J151</f>
        <v>0.12906487392028268</v>
      </c>
      <c r="H47" s="71">
        <f>'Summary Data'!J178</f>
        <v>0.12911292968835339</v>
      </c>
      <c r="I47" s="71">
        <f>'Summary Data'!J205</f>
        <v>0.12923834311057852</v>
      </c>
      <c r="J47" s="71">
        <f>'Summary Data'!J232</f>
        <v>0.13018069239502375</v>
      </c>
      <c r="K47" s="71">
        <f>'Summary Data'!J259</f>
        <v>0.12881707986844351</v>
      </c>
      <c r="L47" s="71">
        <f>'Summary Data'!J286</f>
        <v>0.1290254797488169</v>
      </c>
      <c r="M47" s="71">
        <f>'Summary Data'!J313</f>
        <v>0.12769470151782195</v>
      </c>
      <c r="N47" s="71">
        <f>'Summary Data'!J340</f>
        <v>0.12830993333124183</v>
      </c>
      <c r="O47" s="71">
        <f>'Summary Data'!J367</f>
        <v>0.12814373089832012</v>
      </c>
      <c r="P47" s="71">
        <f>'Summary Data'!J394</f>
        <v>0.12911513134393793</v>
      </c>
      <c r="Q47" s="71">
        <f>'Summary Data'!J421</f>
        <v>0.12915411680940792</v>
      </c>
      <c r="R47" s="71">
        <f>'Summary Data'!J448</f>
        <v>0.12981678256135915</v>
      </c>
      <c r="S47" s="71"/>
      <c r="T47" s="71">
        <f>'Summary Data'!K10</f>
        <v>0.11554502899447401</v>
      </c>
      <c r="U47" s="71">
        <f>'Summary Data'!K38</f>
        <v>0.11565177235464394</v>
      </c>
      <c r="V47" s="71">
        <f>'Summary Data'!K67</f>
        <v>0.11554167175917324</v>
      </c>
      <c r="W47" s="71">
        <f>'Summary Data'!K97</f>
        <v>0.11554167175917324</v>
      </c>
      <c r="X47" s="71">
        <f>'Summary Data'!K124</f>
        <v>0.11554167175917324</v>
      </c>
      <c r="Y47" s="71">
        <f>'Summary Data'!K151</f>
        <v>0.11555035632356443</v>
      </c>
      <c r="Z47" s="71">
        <f>'Summary Data'!K178</f>
        <v>0.11555848954413743</v>
      </c>
      <c r="AA47" s="71">
        <f>'Summary Data'!K205</f>
        <v>0.11749160178971609</v>
      </c>
      <c r="AB47" s="71">
        <f>'Summary Data'!K232</f>
        <v>0.1168657773977087</v>
      </c>
      <c r="AC47" s="71">
        <f>'Summary Data'!K259</f>
        <v>0.11430689452915246</v>
      </c>
      <c r="AD47" s="71">
        <f>'Summary Data'!K286</f>
        <v>0.11554316878022571</v>
      </c>
      <c r="AE47" s="71">
        <f>'Summary Data'!K313</f>
        <v>0.1155999045810889</v>
      </c>
      <c r="AF47" s="71">
        <f>'Summary Data'!K340</f>
        <v>0.11566191097118182</v>
      </c>
      <c r="AG47" s="71">
        <f>'Summary Data'!K367</f>
        <v>0.11574842159117846</v>
      </c>
      <c r="AH47" s="71">
        <f>'Summary Data'!K394</f>
        <v>0.11586271902555632</v>
      </c>
      <c r="AI47" s="71">
        <f>'Summary Data'!K421</f>
        <v>0.11532633135173648</v>
      </c>
      <c r="AJ47" s="71">
        <f>'Summary Data'!K448</f>
        <v>0.11553570487150171</v>
      </c>
      <c r="AK47" s="71"/>
      <c r="AL47" s="71"/>
      <c r="AM47" s="71"/>
    </row>
    <row r="48" spans="1:41" x14ac:dyDescent="0.2">
      <c r="A48" s="2">
        <v>2030</v>
      </c>
      <c r="B48" s="71">
        <f>'Summary Data'!J11</f>
        <v>0.13267359510523058</v>
      </c>
      <c r="C48" s="71">
        <f>'Summary Data'!J39</f>
        <v>0.13203057852115693</v>
      </c>
      <c r="D48" s="71">
        <f>'Summary Data'!J68</f>
        <v>0.13265834347180819</v>
      </c>
      <c r="E48" s="71">
        <f>'Summary Data'!J98</f>
        <v>0.13267496331058853</v>
      </c>
      <c r="F48" s="71">
        <f>'Summary Data'!J125</f>
        <v>0.13265834347180819</v>
      </c>
      <c r="G48" s="71">
        <f>'Summary Data'!J152</f>
        <v>0.13270745335852285</v>
      </c>
      <c r="H48" s="71">
        <f>'Summary Data'!J179</f>
        <v>0.13277293699418885</v>
      </c>
      <c r="I48" s="71">
        <f>'Summary Data'!J206</f>
        <v>0.13289050031506686</v>
      </c>
      <c r="J48" s="71">
        <f>'Summary Data'!J233</f>
        <v>0.13402538367099676</v>
      </c>
      <c r="K48" s="71">
        <f>'Summary Data'!J260</f>
        <v>0.13224329435035129</v>
      </c>
      <c r="L48" s="71">
        <f>'Summary Data'!J287</f>
        <v>0.13265766227246034</v>
      </c>
      <c r="M48" s="71">
        <f>'Summary Data'!J314</f>
        <v>0.13094044938916483</v>
      </c>
      <c r="N48" s="71">
        <f>'Summary Data'!J341</f>
        <v>0.13156771699963268</v>
      </c>
      <c r="O48" s="71">
        <f>'Summary Data'!J368</f>
        <v>0.13149048608405847</v>
      </c>
      <c r="P48" s="71">
        <f>'Summary Data'!J395</f>
        <v>0.13277394522340563</v>
      </c>
      <c r="Q48" s="71">
        <f>'Summary Data'!J422</f>
        <v>0.13278462711138045</v>
      </c>
      <c r="R48" s="71">
        <f>'Summary Data'!J449</f>
        <v>0.13357025828705027</v>
      </c>
      <c r="S48" s="71"/>
      <c r="T48" s="71">
        <f>'Summary Data'!K11</f>
        <v>0.1185973018302955</v>
      </c>
      <c r="U48" s="71">
        <f>'Summary Data'!K39</f>
        <v>0.11873474555602197</v>
      </c>
      <c r="V48" s="71">
        <f>'Summary Data'!K68</f>
        <v>0.11859328115315164</v>
      </c>
      <c r="W48" s="71">
        <f>'Summary Data'!K98</f>
        <v>0.11852509684482135</v>
      </c>
      <c r="X48" s="71">
        <f>'Summary Data'!K125</f>
        <v>0.11859328115315164</v>
      </c>
      <c r="Y48" s="71">
        <f>'Summary Data'!K152</f>
        <v>0.11860658273753902</v>
      </c>
      <c r="Z48" s="71">
        <f>'Summary Data'!K179</f>
        <v>0.11861697974397351</v>
      </c>
      <c r="AA48" s="71">
        <f>'Summary Data'!K206</f>
        <v>0.12038747127080057</v>
      </c>
      <c r="AB48" s="71">
        <f>'Summary Data'!K233</f>
        <v>0.12033119799256345</v>
      </c>
      <c r="AC48" s="71">
        <f>'Summary Data'!K260</f>
        <v>0.11697764060504585</v>
      </c>
      <c r="AD48" s="71">
        <f>'Summary Data'!K287</f>
        <v>0.11859869831656702</v>
      </c>
      <c r="AE48" s="71">
        <f>'Summary Data'!K314</f>
        <v>0.11864619311180785</v>
      </c>
      <c r="AF48" s="71">
        <f>'Summary Data'!K341</f>
        <v>0.11874030756882568</v>
      </c>
      <c r="AG48" s="71">
        <f>'Summary Data'!K368</f>
        <v>0.11881697788569318</v>
      </c>
      <c r="AH48" s="71">
        <f>'Summary Data'!K395</f>
        <v>0.11899074422762175</v>
      </c>
      <c r="AI48" s="71">
        <f>'Summary Data'!K422</f>
        <v>0.11838707972156524</v>
      </c>
      <c r="AJ48" s="71">
        <f>'Summary Data'!K449</f>
        <v>0.1185888059153347</v>
      </c>
      <c r="AK48" s="71"/>
      <c r="AL48" s="71"/>
      <c r="AM48" s="71"/>
    </row>
    <row r="49" spans="1:39" x14ac:dyDescent="0.2">
      <c r="A49" s="2">
        <v>2031</v>
      </c>
      <c r="B49" s="71">
        <f>'Summary Data'!J12</f>
        <v>0.13747378320789347</v>
      </c>
      <c r="C49" s="71">
        <f>'Summary Data'!J40</f>
        <v>0.13673214833690034</v>
      </c>
      <c r="D49" s="71">
        <f>'Summary Data'!J69</f>
        <v>0.13745095275912411</v>
      </c>
      <c r="E49" s="71">
        <f>'Summary Data'!J99</f>
        <v>0.13724272633478218</v>
      </c>
      <c r="F49" s="71">
        <f>'Summary Data'!J126</f>
        <v>0.13745095275912411</v>
      </c>
      <c r="G49" s="71">
        <f>'Summary Data'!J153</f>
        <v>0.13751685893445723</v>
      </c>
      <c r="H49" s="71">
        <f>'Summary Data'!J180</f>
        <v>0.13760473933163167</v>
      </c>
      <c r="I49" s="71">
        <f>'Summary Data'!J207</f>
        <v>0.13771082623474543</v>
      </c>
      <c r="J49" s="71">
        <f>'Summary Data'!J234</f>
        <v>0.13916232751875579</v>
      </c>
      <c r="K49" s="71">
        <f>'Summary Data'!J261</f>
        <v>0.13678943530146348</v>
      </c>
      <c r="L49" s="71">
        <f>'Summary Data'!J288</f>
        <v>0.13732182536615742</v>
      </c>
      <c r="M49" s="71">
        <f>'Summary Data'!J315</f>
        <v>0.1358265310712076</v>
      </c>
      <c r="N49" s="71">
        <f>'Summary Data'!J342</f>
        <v>0.1364156498692175</v>
      </c>
      <c r="O49" s="71">
        <f>'Summary Data'!J369</f>
        <v>0.13650011267416309</v>
      </c>
      <c r="P49" s="71">
        <f>'Summary Data'!J396</f>
        <v>0.13760469303166328</v>
      </c>
      <c r="Q49" s="71">
        <f>'Summary Data'!J423</f>
        <v>0.13760909977514246</v>
      </c>
      <c r="R49" s="71">
        <f>'Summary Data'!J450</f>
        <v>0.13851046670352049</v>
      </c>
      <c r="S49" s="71"/>
      <c r="T49" s="71">
        <f>'Summary Data'!K12</f>
        <v>0.12218286842382195</v>
      </c>
      <c r="U49" s="71">
        <f>'Summary Data'!K40</f>
        <v>0.12235305003588005</v>
      </c>
      <c r="V49" s="71">
        <f>'Summary Data'!K69</f>
        <v>0.1223495888100857</v>
      </c>
      <c r="W49" s="71">
        <f>'Summary Data'!K99</f>
        <v>0.12211047507724598</v>
      </c>
      <c r="X49" s="71">
        <f>'Summary Data'!K126</f>
        <v>0.12217815945282459</v>
      </c>
      <c r="Y49" s="71">
        <f>'Summary Data'!K153</f>
        <v>0.1221982496761487</v>
      </c>
      <c r="Z49" s="71">
        <f>'Summary Data'!K180</f>
        <v>0.12221188451901385</v>
      </c>
      <c r="AA49" s="71">
        <f>'Summary Data'!K207</f>
        <v>0.12395171418885723</v>
      </c>
      <c r="AB49" s="71">
        <f>'Summary Data'!K234</f>
        <v>0.1245140645005177</v>
      </c>
      <c r="AC49" s="71">
        <f>'Summary Data'!K261</f>
        <v>0.12000326876894429</v>
      </c>
      <c r="AD49" s="71">
        <f>'Summary Data'!K288</f>
        <v>0.12216469378281039</v>
      </c>
      <c r="AE49" s="71">
        <f>'Summary Data'!K315</f>
        <v>0.12227712069103143</v>
      </c>
      <c r="AF49" s="71">
        <f>'Summary Data'!K342</f>
        <v>0.122373702692081</v>
      </c>
      <c r="AG49" s="71">
        <f>'Summary Data'!K369</f>
        <v>0.1225050044515673</v>
      </c>
      <c r="AH49" s="71">
        <f>'Summary Data'!K396</f>
        <v>0.12278078053250346</v>
      </c>
      <c r="AI49" s="71">
        <f>'Summary Data'!K423</f>
        <v>0.12192058326254161</v>
      </c>
      <c r="AJ49" s="71">
        <f>'Summary Data'!K450</f>
        <v>0.12217374511436382</v>
      </c>
      <c r="AK49" s="71"/>
      <c r="AL49" s="71"/>
      <c r="AM49" s="71"/>
    </row>
    <row r="50" spans="1:39" x14ac:dyDescent="0.2">
      <c r="A50" s="2">
        <v>2032</v>
      </c>
      <c r="B50" s="71">
        <f>'Summary Data'!J13</f>
        <v>0.14206391377086489</v>
      </c>
      <c r="C50" s="71">
        <f>'Summary Data'!J41</f>
        <v>0.14123132559245216</v>
      </c>
      <c r="D50" s="71">
        <f>'Summary Data'!J70</f>
        <v>0.14190450215767958</v>
      </c>
      <c r="E50" s="71">
        <f>'Summary Data'!J100</f>
        <v>0.1409700218665183</v>
      </c>
      <c r="F50" s="71">
        <f>'Summary Data'!J127</f>
        <v>0.14205372178466516</v>
      </c>
      <c r="G50" s="71">
        <f>'Summary Data'!J154</f>
        <v>0.14213940903069358</v>
      </c>
      <c r="H50" s="71">
        <f>'Summary Data'!J181</f>
        <v>0.1426261284171568</v>
      </c>
      <c r="I50" s="71">
        <f>'Summary Data'!J208</f>
        <v>0.1423228955467889</v>
      </c>
      <c r="J50" s="71">
        <f>'Summary Data'!J235</f>
        <v>0.14409072475517476</v>
      </c>
      <c r="K50" s="71">
        <f>'Summary Data'!J262</f>
        <v>0.14111362646020581</v>
      </c>
      <c r="L50" s="71">
        <f>'Summary Data'!J289</f>
        <v>0.14266922182759997</v>
      </c>
      <c r="M50" s="71">
        <f>'Summary Data'!J316</f>
        <v>0.14777642821266262</v>
      </c>
      <c r="N50" s="71">
        <f>'Summary Data'!J343</f>
        <v>0.14448776397118354</v>
      </c>
      <c r="O50" s="71">
        <f>'Summary Data'!J370</f>
        <v>0.15338328458769401</v>
      </c>
      <c r="P50" s="71">
        <f>'Summary Data'!J397</f>
        <v>0.14209576650987593</v>
      </c>
      <c r="Q50" s="71">
        <f>'Summary Data'!J424</f>
        <v>0.14215844846725931</v>
      </c>
      <c r="R50" s="71">
        <f>'Summary Data'!J451</f>
        <v>0.14335976793395797</v>
      </c>
      <c r="S50" s="71"/>
      <c r="T50" s="71">
        <f>'Summary Data'!K13</f>
        <v>0.12512673130593563</v>
      </c>
      <c r="U50" s="71">
        <f>'Summary Data'!K41</f>
        <v>0.12533083937125983</v>
      </c>
      <c r="V50" s="71">
        <f>'Summary Data'!K70</f>
        <v>0.12567068399193898</v>
      </c>
      <c r="W50" s="71">
        <f>'Summary Data'!K100</f>
        <v>0.12505410176275772</v>
      </c>
      <c r="X50" s="71">
        <f>'Summary Data'!K127</f>
        <v>0.12800200319163435</v>
      </c>
      <c r="Y50" s="71">
        <f>'Summary Data'!K154</f>
        <v>0.12510079114430661</v>
      </c>
      <c r="Z50" s="71">
        <f>'Summary Data'!K181</f>
        <v>0.12612189944085883</v>
      </c>
      <c r="AA50" s="71">
        <f>'Summary Data'!K208</f>
        <v>0.12692081649137502</v>
      </c>
      <c r="AB50" s="71">
        <f>'Summary Data'!K235</f>
        <v>0.12806516561754472</v>
      </c>
      <c r="AC50" s="71">
        <f>'Summary Data'!K262</f>
        <v>0.12240897042007368</v>
      </c>
      <c r="AD50" s="71">
        <f>'Summary Data'!K289</f>
        <v>0.125074798445963</v>
      </c>
      <c r="AE50" s="71">
        <f>'Summary Data'!K316</f>
        <v>0.12527738552007422</v>
      </c>
      <c r="AF50" s="71">
        <f>'Summary Data'!K343</f>
        <v>0.12639356694221432</v>
      </c>
      <c r="AG50" s="71">
        <f>'Summary Data'!K370</f>
        <v>0.12558232259272276</v>
      </c>
      <c r="AH50" s="71">
        <f>'Summary Data'!K397</f>
        <v>0.12617909194656007</v>
      </c>
      <c r="AI50" s="71">
        <f>'Summary Data'!K424</f>
        <v>0.12649974036610281</v>
      </c>
      <c r="AJ50" s="71">
        <f>'Summary Data'!K451</f>
        <v>0.12496096567902935</v>
      </c>
      <c r="AK50" s="71"/>
      <c r="AL50" s="71"/>
      <c r="AM50" s="71"/>
    </row>
    <row r="51" spans="1:39" x14ac:dyDescent="0.2">
      <c r="A51" s="2">
        <v>2033</v>
      </c>
      <c r="B51" s="71">
        <f>'Summary Data'!J14</f>
        <v>0.14541833158237807</v>
      </c>
      <c r="C51" s="71">
        <f>'Summary Data'!J42</f>
        <v>0.14435169031560144</v>
      </c>
      <c r="D51" s="71">
        <f>'Summary Data'!J71</f>
        <v>0.14511697391263004</v>
      </c>
      <c r="E51" s="71">
        <f>'Summary Data'!J101</f>
        <v>0.14445564359277899</v>
      </c>
      <c r="F51" s="71">
        <f>'Summary Data'!J128</f>
        <v>0.14525789686241225</v>
      </c>
      <c r="G51" s="71">
        <f>'Summary Data'!J155</f>
        <v>0.14535521460022205</v>
      </c>
      <c r="H51" s="71">
        <f>'Summary Data'!J182</f>
        <v>0.14583341848522308</v>
      </c>
      <c r="I51" s="71">
        <f>'Summary Data'!J209</f>
        <v>0.14554321190981259</v>
      </c>
      <c r="J51" s="71">
        <f>'Summary Data'!J236</f>
        <v>0.14760297285372925</v>
      </c>
      <c r="K51" s="71">
        <f>'Summary Data'!J263</f>
        <v>0.14412636468100273</v>
      </c>
      <c r="L51" s="71">
        <f>'Summary Data'!J290</f>
        <v>0.14531686474925004</v>
      </c>
      <c r="M51" s="71">
        <f>'Summary Data'!J317</f>
        <v>0.14900268375008541</v>
      </c>
      <c r="N51" s="71">
        <f>'Summary Data'!J344</f>
        <v>0.14637695116552463</v>
      </c>
      <c r="O51" s="71">
        <f>'Summary Data'!J371</f>
        <v>0.1539171680340109</v>
      </c>
      <c r="P51" s="71">
        <f>'Summary Data'!J398</f>
        <v>0.14534162348919905</v>
      </c>
      <c r="Q51" s="71">
        <f>'Summary Data'!J425</f>
        <v>0.14536607423638334</v>
      </c>
      <c r="R51" s="71">
        <f>'Summary Data'!J452</f>
        <v>0.1468628749561437</v>
      </c>
      <c r="S51" s="71"/>
      <c r="T51" s="71">
        <f>'Summary Data'!K14</f>
        <v>0.12735471556333114</v>
      </c>
      <c r="U51" s="71">
        <f>'Summary Data'!K42</f>
        <v>0.12788437649391976</v>
      </c>
      <c r="V51" s="71">
        <f>'Summary Data'!K71</f>
        <v>0.12812061526293231</v>
      </c>
      <c r="W51" s="71">
        <f>'Summary Data'!K101</f>
        <v>0.12728191230974034</v>
      </c>
      <c r="X51" s="71">
        <f>'Summary Data'!K128</f>
        <v>0.13033654090209104</v>
      </c>
      <c r="Y51" s="71">
        <f>'Summary Data'!K155</f>
        <v>0.12763317155893</v>
      </c>
      <c r="Z51" s="71">
        <f>'Summary Data'!K182</f>
        <v>0.12857861481554839</v>
      </c>
      <c r="AA51" s="71">
        <f>'Summary Data'!K209</f>
        <v>0.12936185896393515</v>
      </c>
      <c r="AB51" s="71">
        <f>'Summary Data'!K236</f>
        <v>0.13112409547043469</v>
      </c>
      <c r="AC51" s="71">
        <f>'Summary Data'!K263</f>
        <v>0.12448067746406266</v>
      </c>
      <c r="AD51" s="71">
        <f>'Summary Data'!K290</f>
        <v>0.12749785770126973</v>
      </c>
      <c r="AE51" s="71">
        <f>'Summary Data'!K317</f>
        <v>0.1278296490557051</v>
      </c>
      <c r="AF51" s="71">
        <f>'Summary Data'!K344</f>
        <v>0.12883936139610419</v>
      </c>
      <c r="AG51" s="71">
        <f>'Summary Data'!K371</f>
        <v>0.12814216278379761</v>
      </c>
      <c r="AH51" s="71">
        <f>'Summary Data'!K398</f>
        <v>0.12872857428909132</v>
      </c>
      <c r="AI51" s="71">
        <f>'Summary Data'!K425</f>
        <v>0.12893573405644115</v>
      </c>
      <c r="AJ51" s="71">
        <f>'Summary Data'!K452</f>
        <v>0.12716739688184894</v>
      </c>
      <c r="AK51" s="71"/>
      <c r="AL51" s="71"/>
      <c r="AM51" s="71"/>
    </row>
    <row r="52" spans="1:39" x14ac:dyDescent="0.2">
      <c r="A52" s="2">
        <v>2034</v>
      </c>
      <c r="B52" s="71">
        <f>'Summary Data'!J15</f>
        <v>0.14617573486382199</v>
      </c>
      <c r="C52" s="71">
        <f>'Summary Data'!J43</f>
        <v>0.1451614802884125</v>
      </c>
      <c r="D52" s="71">
        <f>'Summary Data'!J72</f>
        <v>0.1457178584405408</v>
      </c>
      <c r="E52" s="71">
        <f>'Summary Data'!J102</f>
        <v>0.14498119906047746</v>
      </c>
      <c r="F52" s="71">
        <f>'Summary Data'!J129</f>
        <v>0.145856342339408</v>
      </c>
      <c r="G52" s="71">
        <f>'Summary Data'!J156</f>
        <v>0.14594207398420228</v>
      </c>
      <c r="H52" s="71">
        <f>'Summary Data'!J183</f>
        <v>0.14643106450105356</v>
      </c>
      <c r="I52" s="71">
        <f>'Summary Data'!J210</f>
        <v>0.14615158573100476</v>
      </c>
      <c r="J52" s="71">
        <f>'Summary Data'!J237</f>
        <v>0.148440573134066</v>
      </c>
      <c r="K52" s="71">
        <f>'Summary Data'!J264</f>
        <v>0.14482121284802849</v>
      </c>
      <c r="L52" s="71">
        <f>'Summary Data'!J291</f>
        <v>0.14548792822193993</v>
      </c>
      <c r="M52" s="71">
        <f>'Summary Data'!J318</f>
        <v>0.14802660863294737</v>
      </c>
      <c r="N52" s="71">
        <f>'Summary Data'!J345</f>
        <v>0.14562703290476486</v>
      </c>
      <c r="O52" s="71">
        <f>'Summary Data'!J372</f>
        <v>0.15232495389714693</v>
      </c>
      <c r="P52" s="71">
        <f>'Summary Data'!J399</f>
        <v>0.14597114979392414</v>
      </c>
      <c r="Q52" s="71">
        <f>'Summary Data'!J426</f>
        <v>0.14603991539569233</v>
      </c>
      <c r="R52" s="71">
        <f>'Summary Data'!J453</f>
        <v>0.1501883503429271</v>
      </c>
      <c r="S52" s="71"/>
      <c r="T52" s="71">
        <f>'Summary Data'!K15</f>
        <v>0.13022962090731169</v>
      </c>
      <c r="U52" s="71">
        <f>'Summary Data'!K43</f>
        <v>0.13050377953421047</v>
      </c>
      <c r="V52" s="71">
        <f>'Summary Data'!K72</f>
        <v>0.12785837301257208</v>
      </c>
      <c r="W52" s="71">
        <f>'Summary Data'!K102</f>
        <v>0.12738355094084242</v>
      </c>
      <c r="X52" s="71">
        <f>'Summary Data'!K129</f>
        <v>0.13004119713685644</v>
      </c>
      <c r="Y52" s="71">
        <f>'Summary Data'!K156</f>
        <v>0.12744179362408453</v>
      </c>
      <c r="Z52" s="71">
        <f>'Summary Data'!K183</f>
        <v>0.12836961816189837</v>
      </c>
      <c r="AA52" s="71">
        <f>'Summary Data'!K210</f>
        <v>0.12906496264012571</v>
      </c>
      <c r="AB52" s="71">
        <f>'Summary Data'!K237</f>
        <v>0.1313804294497653</v>
      </c>
      <c r="AC52" s="71">
        <f>'Summary Data'!K264</f>
        <v>0.12674830549735297</v>
      </c>
      <c r="AD52" s="71">
        <f>'Summary Data'!K291</f>
        <v>0.13027223535575691</v>
      </c>
      <c r="AE52" s="71">
        <f>'Summary Data'!K318</f>
        <v>0.13059051855269818</v>
      </c>
      <c r="AF52" s="71">
        <f>'Summary Data'!K345</f>
        <v>0.12870107835742181</v>
      </c>
      <c r="AG52" s="71">
        <f>'Summary Data'!K372</f>
        <v>0.1307980471700278</v>
      </c>
      <c r="AH52" s="71">
        <f>'Summary Data'!K399</f>
        <v>0.12854442338283414</v>
      </c>
      <c r="AI52" s="71">
        <f>'Summary Data'!K426</f>
        <v>0.12850545082445852</v>
      </c>
      <c r="AJ52" s="71">
        <f>'Summary Data'!K453</f>
        <v>0.13013789156737277</v>
      </c>
      <c r="AK52" s="71"/>
      <c r="AL52" s="71"/>
      <c r="AM52" s="71"/>
    </row>
    <row r="53" spans="1:39" x14ac:dyDescent="0.2">
      <c r="A53" s="2">
        <v>2035</v>
      </c>
      <c r="B53" s="71">
        <f>'Summary Data'!J16</f>
        <v>0.15024310398534432</v>
      </c>
      <c r="C53" s="71">
        <f>'Summary Data'!J44</f>
        <v>0.14912927646791813</v>
      </c>
      <c r="D53" s="71">
        <f>'Summary Data'!J73</f>
        <v>0.14986006731860216</v>
      </c>
      <c r="E53" s="71">
        <f>'Summary Data'!J103</f>
        <v>0.14937567591151918</v>
      </c>
      <c r="F53" s="71">
        <f>'Summary Data'!J130</f>
        <v>0.14991993536177661</v>
      </c>
      <c r="G53" s="71">
        <f>'Summary Data'!J157</f>
        <v>0.15031930873860047</v>
      </c>
      <c r="H53" s="71">
        <f>'Summary Data'!J184</f>
        <v>0.15051325500904364</v>
      </c>
      <c r="I53" s="71">
        <f>'Summary Data'!J211</f>
        <v>0.15022558752727444</v>
      </c>
      <c r="J53" s="71">
        <f>'Summary Data'!J238</f>
        <v>0.1528142675252902</v>
      </c>
      <c r="K53" s="71">
        <f>'Summary Data'!J265</f>
        <v>0.14862653615938007</v>
      </c>
      <c r="L53" s="71">
        <f>'Summary Data'!J292</f>
        <v>0.14850033473449009</v>
      </c>
      <c r="M53" s="71">
        <f>'Summary Data'!J319</f>
        <v>0.15243099164610879</v>
      </c>
      <c r="N53" s="71">
        <f>'Summary Data'!J346</f>
        <v>0.14796855545847595</v>
      </c>
      <c r="O53" s="71">
        <f>'Summary Data'!J373</f>
        <v>0.15314114325008041</v>
      </c>
      <c r="P53" s="71">
        <f>'Summary Data'!J400</f>
        <v>0.15009000635683062</v>
      </c>
      <c r="Q53" s="71">
        <f>'Summary Data'!J427</f>
        <v>0.15010876076816623</v>
      </c>
      <c r="R53" s="71">
        <f>'Summary Data'!J454</f>
        <v>0.15518213762892386</v>
      </c>
      <c r="S53" s="71"/>
      <c r="T53" s="71">
        <f>'Summary Data'!K16</f>
        <v>0.13394272155201173</v>
      </c>
      <c r="U53" s="71">
        <f>'Summary Data'!K44</f>
        <v>0.13425468463509249</v>
      </c>
      <c r="V53" s="71">
        <f>'Summary Data'!K73</f>
        <v>0.1317594250144036</v>
      </c>
      <c r="W53" s="71">
        <f>'Summary Data'!K103</f>
        <v>0.13126788289511968</v>
      </c>
      <c r="X53" s="71">
        <f>'Summary Data'!K130</f>
        <v>0.13380567479176628</v>
      </c>
      <c r="Y53" s="71">
        <f>'Summary Data'!K157</f>
        <v>0.13408027428664976</v>
      </c>
      <c r="Z53" s="71">
        <f>'Summary Data'!K184</f>
        <v>0.13225721620033523</v>
      </c>
      <c r="AA53" s="71">
        <f>'Summary Data'!K211</f>
        <v>0.13285332035017453</v>
      </c>
      <c r="AB53" s="71">
        <f>'Summary Data'!K238</f>
        <v>0.13590795242220957</v>
      </c>
      <c r="AC53" s="71">
        <f>'Summary Data'!K265</f>
        <v>0.1298818000947112</v>
      </c>
      <c r="AD53" s="71">
        <f>'Summary Data'!K292</f>
        <v>0.13379847711658027</v>
      </c>
      <c r="AE53" s="71">
        <f>'Summary Data'!K319</f>
        <v>0.13474331044242477</v>
      </c>
      <c r="AF53" s="71">
        <f>'Summary Data'!K346</f>
        <v>0.1326068267525814</v>
      </c>
      <c r="AG53" s="71">
        <f>'Summary Data'!K373</f>
        <v>0.13424422662950272</v>
      </c>
      <c r="AH53" s="71">
        <f>'Summary Data'!K400</f>
        <v>0.13250700249934316</v>
      </c>
      <c r="AI53" s="71">
        <f>'Summary Data'!K427</f>
        <v>0.13233462280307562</v>
      </c>
      <c r="AJ53" s="71">
        <f>'Summary Data'!K454</f>
        <v>0.13360893343299535</v>
      </c>
      <c r="AK53" s="71"/>
      <c r="AL53" s="71"/>
      <c r="AM53" s="71"/>
    </row>
    <row r="54" spans="1:39" x14ac:dyDescent="0.2">
      <c r="A54" s="2">
        <v>2036</v>
      </c>
      <c r="B54" s="71">
        <f>'Summary Data'!J17</f>
        <v>0.15621879872099415</v>
      </c>
      <c r="C54" s="71">
        <f>'Summary Data'!J45</f>
        <v>0.15500177599341528</v>
      </c>
      <c r="D54" s="71">
        <f>'Summary Data'!J74</f>
        <v>0.15454805128429888</v>
      </c>
      <c r="E54" s="71">
        <f>'Summary Data'!J104</f>
        <v>0.15273025675239896</v>
      </c>
      <c r="F54" s="71">
        <f>'Summary Data'!J131</f>
        <v>0.1556079219710732</v>
      </c>
      <c r="G54" s="71">
        <f>'Summary Data'!J158</f>
        <v>0.15603348580212395</v>
      </c>
      <c r="H54" s="71">
        <f>'Summary Data'!J185</f>
        <v>0.15381434913625502</v>
      </c>
      <c r="I54" s="71">
        <f>'Summary Data'!J212</f>
        <v>0.15607879105876321</v>
      </c>
      <c r="J54" s="71">
        <f>'Summary Data'!J239</f>
        <v>0.15647580437321992</v>
      </c>
      <c r="K54" s="71">
        <f>'Summary Data'!J266</f>
        <v>0.15443094002894042</v>
      </c>
      <c r="L54" s="71">
        <f>'Summary Data'!J293</f>
        <v>0.15290766466023387</v>
      </c>
      <c r="M54" s="71">
        <f>'Summary Data'!J320</f>
        <v>0.15772249253185519</v>
      </c>
      <c r="N54" s="71">
        <f>'Summary Data'!J347</f>
        <v>0.15283890399433048</v>
      </c>
      <c r="O54" s="71">
        <f>'Summary Data'!J374</f>
        <v>0.15733793055109341</v>
      </c>
      <c r="P54" s="71">
        <f>'Summary Data'!J401</f>
        <v>0.15577268384649159</v>
      </c>
      <c r="Q54" s="71">
        <f>'Summary Data'!J428</f>
        <v>0.15550930636922874</v>
      </c>
      <c r="R54" s="71">
        <f>'Summary Data'!J455</f>
        <v>0.16183414379379021</v>
      </c>
      <c r="S54" s="71"/>
      <c r="T54" s="71">
        <f>'Summary Data'!K17</f>
        <v>0.13706602189248671</v>
      </c>
      <c r="U54" s="71">
        <f>'Summary Data'!K45</f>
        <v>0.13741845442498737</v>
      </c>
      <c r="V54" s="71">
        <f>'Summary Data'!K74</f>
        <v>0.13612535711760693</v>
      </c>
      <c r="W54" s="71">
        <f>'Summary Data'!K104</f>
        <v>0.13415084749892672</v>
      </c>
      <c r="X54" s="71">
        <f>'Summary Data'!K131</f>
        <v>0.13675505773331936</v>
      </c>
      <c r="Y54" s="71">
        <f>'Summary Data'!K158</f>
        <v>0.13666798746592634</v>
      </c>
      <c r="Z54" s="71">
        <f>'Summary Data'!K185</f>
        <v>0.13519763209165583</v>
      </c>
      <c r="AA54" s="71">
        <f>'Summary Data'!K212</f>
        <v>0.13872812803573775</v>
      </c>
      <c r="AB54" s="71">
        <f>'Summary Data'!K239</f>
        <v>0.1397004724446646</v>
      </c>
      <c r="AC54" s="71">
        <f>'Summary Data'!K266</f>
        <v>0.13242667624935017</v>
      </c>
      <c r="AD54" s="71">
        <f>'Summary Data'!K293</f>
        <v>0.13668140739752591</v>
      </c>
      <c r="AE54" s="71">
        <f>'Summary Data'!K320</f>
        <v>0.13891362113790406</v>
      </c>
      <c r="AF54" s="71">
        <f>'Summary Data'!K347</f>
        <v>0.13829756758023823</v>
      </c>
      <c r="AG54" s="71">
        <f>'Summary Data'!K374</f>
        <v>0.13743662686503977</v>
      </c>
      <c r="AH54" s="71">
        <f>'Summary Data'!K401</f>
        <v>0.1379133151486554</v>
      </c>
      <c r="AI54" s="71">
        <f>'Summary Data'!K428</f>
        <v>0.13730614893589094</v>
      </c>
      <c r="AJ54" s="71">
        <f>'Summary Data'!K455</f>
        <v>0.13641734442317127</v>
      </c>
      <c r="AK54" s="71"/>
      <c r="AL54" s="71"/>
      <c r="AM54" s="71"/>
    </row>
    <row r="55" spans="1:39" x14ac:dyDescent="0.2">
      <c r="A55" s="2">
        <v>2037</v>
      </c>
      <c r="B55" s="71">
        <f>'Summary Data'!J18</f>
        <v>0.1602721261670986</v>
      </c>
      <c r="C55" s="71">
        <f>'Summary Data'!J46</f>
        <v>0.15894279619692536</v>
      </c>
      <c r="D55" s="71">
        <f>'Summary Data'!J75</f>
        <v>0.15857536151898075</v>
      </c>
      <c r="E55" s="71">
        <f>'Summary Data'!J105</f>
        <v>0.15710841884586277</v>
      </c>
      <c r="F55" s="71">
        <f>'Summary Data'!J132</f>
        <v>0.15965979991841642</v>
      </c>
      <c r="G55" s="71">
        <f>'Summary Data'!J159</f>
        <v>0.16014155735181898</v>
      </c>
      <c r="H55" s="71">
        <f>'Summary Data'!J186</f>
        <v>0.15829262712429709</v>
      </c>
      <c r="I55" s="71">
        <f>'Summary Data'!J213</f>
        <v>0.16015071231080882</v>
      </c>
      <c r="J55" s="71">
        <f>'Summary Data'!J240</f>
        <v>0.16248554268463578</v>
      </c>
      <c r="K55" s="71">
        <f>'Summary Data'!J267</f>
        <v>0.15821348323986051</v>
      </c>
      <c r="L55" s="71">
        <f>'Summary Data'!J294</f>
        <v>0.15846279178564027</v>
      </c>
      <c r="M55" s="71">
        <f>'Summary Data'!J321</f>
        <v>0.16168660178128871</v>
      </c>
      <c r="N55" s="71">
        <f>'Summary Data'!J348</f>
        <v>0.1571390952690544</v>
      </c>
      <c r="O55" s="71">
        <f>'Summary Data'!J375</f>
        <v>0.16130853692956268</v>
      </c>
      <c r="P55" s="71">
        <f>'Summary Data'!J402</f>
        <v>0.15988027656367534</v>
      </c>
      <c r="Q55" s="71">
        <f>'Summary Data'!J429</f>
        <v>0.15957668727947832</v>
      </c>
      <c r="R55" s="71">
        <f>'Summary Data'!J456</f>
        <v>0.16900922788488107</v>
      </c>
      <c r="S55" s="71"/>
      <c r="T55" s="71">
        <f>'Summary Data'!K18</f>
        <v>0.14053070023927886</v>
      </c>
      <c r="U55" s="71">
        <f>'Summary Data'!K46</f>
        <v>0.14092088670249478</v>
      </c>
      <c r="V55" s="71">
        <f>'Summary Data'!K75</f>
        <v>0.139637814962177</v>
      </c>
      <c r="W55" s="71">
        <f>'Summary Data'!K105</f>
        <v>0.13776381570946281</v>
      </c>
      <c r="X55" s="71">
        <f>'Summary Data'!K132</f>
        <v>0.14024029262911497</v>
      </c>
      <c r="Y55" s="71">
        <f>'Summary Data'!K159</f>
        <v>0.13989465957930342</v>
      </c>
      <c r="Z55" s="71">
        <f>'Summary Data'!K186</f>
        <v>0.13960592349833847</v>
      </c>
      <c r="AA55" s="71">
        <f>'Summary Data'!K213</f>
        <v>0.14205161378748474</v>
      </c>
      <c r="AB55" s="71">
        <f>'Summary Data'!K240</f>
        <v>0.14549687289299354</v>
      </c>
      <c r="AC55" s="71">
        <f>'Summary Data'!K267</f>
        <v>0.13531657631240832</v>
      </c>
      <c r="AD55" s="71">
        <f>'Summary Data'!K294</f>
        <v>0.14023408500537193</v>
      </c>
      <c r="AE55" s="71">
        <f>'Summary Data'!K321</f>
        <v>0.14281174791870049</v>
      </c>
      <c r="AF55" s="71">
        <f>'Summary Data'!K348</f>
        <v>0.14193955056441934</v>
      </c>
      <c r="AG55" s="71">
        <f>'Summary Data'!K375</f>
        <v>0.14204470614263026</v>
      </c>
      <c r="AH55" s="71">
        <f>'Summary Data'!K402</f>
        <v>0.14155603339233935</v>
      </c>
      <c r="AI55" s="71">
        <f>'Summary Data'!K429</f>
        <v>0.14083905980021402</v>
      </c>
      <c r="AJ55" s="71">
        <f>'Summary Data'!K456</f>
        <v>0.13947106348454652</v>
      </c>
      <c r="AK55" s="71"/>
      <c r="AL55" s="71"/>
      <c r="AM55" s="71"/>
    </row>
    <row r="56" spans="1:39" x14ac:dyDescent="0.2">
      <c r="A56" s="2">
        <v>2038</v>
      </c>
      <c r="B56" s="71">
        <f>'Summary Data'!J19</f>
        <v>0.16397259993059077</v>
      </c>
      <c r="C56" s="71">
        <f>'Summary Data'!J47</f>
        <v>0.16251915949360371</v>
      </c>
      <c r="D56" s="71">
        <f>'Summary Data'!J76</f>
        <v>0.16329970644485117</v>
      </c>
      <c r="E56" s="71">
        <f>'Summary Data'!J106</f>
        <v>0.16067622834400275</v>
      </c>
      <c r="F56" s="71">
        <f>'Summary Data'!J133</f>
        <v>0.16467933958914935</v>
      </c>
      <c r="G56" s="71">
        <f>'Summary Data'!J160</f>
        <v>0.16544700881053881</v>
      </c>
      <c r="H56" s="71">
        <f>'Summary Data'!J187</f>
        <v>0.16248307074534599</v>
      </c>
      <c r="I56" s="71">
        <f>'Summary Data'!J214</f>
        <v>0.16383915930994786</v>
      </c>
      <c r="J56" s="71">
        <f>'Summary Data'!J241</f>
        <v>0.16655779099072354</v>
      </c>
      <c r="K56" s="71">
        <f>'Summary Data'!J268</f>
        <v>0.16357985704248634</v>
      </c>
      <c r="L56" s="71">
        <f>'Summary Data'!J295</f>
        <v>0.1602506525152739</v>
      </c>
      <c r="M56" s="71">
        <f>'Summary Data'!J322</f>
        <v>0.16594008307547956</v>
      </c>
      <c r="N56" s="71">
        <f>'Summary Data'!J349</f>
        <v>0.16106011862192465</v>
      </c>
      <c r="O56" s="71">
        <f>'Summary Data'!J376</f>
        <v>0.16517589860177281</v>
      </c>
      <c r="P56" s="71">
        <f>'Summary Data'!J403</f>
        <v>0.16517727538237639</v>
      </c>
      <c r="Q56" s="71">
        <f>'Summary Data'!J430</f>
        <v>0.16489784492804374</v>
      </c>
      <c r="R56" s="71">
        <f>'Summary Data'!J457</f>
        <v>0.17331426437918659</v>
      </c>
      <c r="S56" s="71"/>
      <c r="T56" s="71">
        <f>'Summary Data'!K19</f>
        <v>0.14355419284469745</v>
      </c>
      <c r="U56" s="71">
        <f>'Summary Data'!K47</f>
        <v>0.14398288434472492</v>
      </c>
      <c r="V56" s="71">
        <f>'Summary Data'!K76</f>
        <v>0.14392081158551023</v>
      </c>
      <c r="W56" s="71">
        <f>'Summary Data'!K106</f>
        <v>0.14090735616217009</v>
      </c>
      <c r="X56" s="71">
        <f>'Summary Data'!K133</f>
        <v>0.14457930569901603</v>
      </c>
      <c r="Y56" s="71">
        <f>'Summary Data'!K160</f>
        <v>0.14346568404289023</v>
      </c>
      <c r="Z56" s="71">
        <f>'Summary Data'!K187</f>
        <v>0.14271321603545412</v>
      </c>
      <c r="AA56" s="71">
        <f>'Summary Data'!K214</f>
        <v>0.14504329335698046</v>
      </c>
      <c r="AB56" s="71">
        <f>'Summary Data'!K241</f>
        <v>0.14925549923863823</v>
      </c>
      <c r="AC56" s="71">
        <f>'Summary Data'!K268</f>
        <v>0.13950064407922108</v>
      </c>
      <c r="AD56" s="71">
        <f>'Summary Data'!K295</f>
        <v>0.14288672462578786</v>
      </c>
      <c r="AE56" s="71">
        <f>'Summary Data'!K322</f>
        <v>0.14594388090869409</v>
      </c>
      <c r="AF56" s="71">
        <f>'Summary Data'!K349</f>
        <v>0.14482002099280714</v>
      </c>
      <c r="AG56" s="71">
        <f>'Summary Data'!K376</f>
        <v>0.14539773769921055</v>
      </c>
      <c r="AH56" s="71">
        <f>'Summary Data'!K403</f>
        <v>0.14645683411881361</v>
      </c>
      <c r="AI56" s="71">
        <f>'Summary Data'!K430</f>
        <v>0.14560157255920472</v>
      </c>
      <c r="AJ56" s="71">
        <f>'Summary Data'!K457</f>
        <v>0.14304487093158025</v>
      </c>
      <c r="AK56" s="71"/>
      <c r="AL56" s="71"/>
      <c r="AM56" s="71"/>
    </row>
    <row r="57" spans="1:39" x14ac:dyDescent="0.2">
      <c r="A57" s="2">
        <v>2039</v>
      </c>
      <c r="B57" s="71">
        <f>'Summary Data'!J20</f>
        <v>0.17145637979281012</v>
      </c>
      <c r="C57" s="71">
        <f>'Summary Data'!J48</f>
        <v>0.16987550426252021</v>
      </c>
      <c r="D57" s="71">
        <f>'Summary Data'!J77</f>
        <v>0.1687703864076861</v>
      </c>
      <c r="E57" s="71">
        <f>'Summary Data'!J107</f>
        <v>0.16645116932082205</v>
      </c>
      <c r="F57" s="71">
        <f>'Summary Data'!J134</f>
        <v>0.17017206736836329</v>
      </c>
      <c r="G57" s="71">
        <f>'Summary Data'!J161</f>
        <v>0.17085449471858213</v>
      </c>
      <c r="H57" s="71">
        <f>'Summary Data'!J188</f>
        <v>0.16845191703016721</v>
      </c>
      <c r="I57" s="71">
        <f>'Summary Data'!J215</f>
        <v>0.17124845196809935</v>
      </c>
      <c r="J57" s="71">
        <f>'Summary Data'!J242</f>
        <v>0.17436770299155799</v>
      </c>
      <c r="K57" s="71">
        <f>'Summary Data'!J269</f>
        <v>0.16873984039429912</v>
      </c>
      <c r="L57" s="71">
        <f>'Summary Data'!J296</f>
        <v>0.16603249582334598</v>
      </c>
      <c r="M57" s="71">
        <f>'Summary Data'!J323</f>
        <v>0.17180325556811732</v>
      </c>
      <c r="N57" s="71">
        <f>'Summary Data'!J350</f>
        <v>0.16641928641484055</v>
      </c>
      <c r="O57" s="71">
        <f>'Summary Data'!J377</f>
        <v>0.17008277428845978</v>
      </c>
      <c r="P57" s="71">
        <f>'Summary Data'!J404</f>
        <v>0.17077348532647968</v>
      </c>
      <c r="Q57" s="71">
        <f>'Summary Data'!J431</f>
        <v>0.1704522536810279</v>
      </c>
      <c r="R57" s="71">
        <f>'Summary Data'!J458</f>
        <v>0.18203651776860397</v>
      </c>
      <c r="S57" s="71"/>
      <c r="T57" s="71">
        <f>'Summary Data'!K20</f>
        <v>0.14859228049469481</v>
      </c>
      <c r="U57" s="71">
        <f>'Summary Data'!K48</f>
        <v>0.14907323449929613</v>
      </c>
      <c r="V57" s="71">
        <f>'Summary Data'!K77</f>
        <v>0.14895825208906391</v>
      </c>
      <c r="W57" s="71">
        <f>'Summary Data'!K107</f>
        <v>0.14607143510680257</v>
      </c>
      <c r="X57" s="71">
        <f>'Summary Data'!K134</f>
        <v>0.14951491104335105</v>
      </c>
      <c r="Y57" s="71">
        <f>'Summary Data'!K161</f>
        <v>0.14849916721209763</v>
      </c>
      <c r="Z57" s="71">
        <f>'Summary Data'!K188</f>
        <v>0.14862325792153866</v>
      </c>
      <c r="AA57" s="71">
        <f>'Summary Data'!K215</f>
        <v>0.15001248404251416</v>
      </c>
      <c r="AB57" s="71">
        <f>'Summary Data'!K242</f>
        <v>0.15521777837835793</v>
      </c>
      <c r="AC57" s="71">
        <f>'Summary Data'!K269</f>
        <v>0.14364668512604664</v>
      </c>
      <c r="AD57" s="71">
        <f>'Summary Data'!K296</f>
        <v>0.14673959826600624</v>
      </c>
      <c r="AE57" s="71">
        <f>'Summary Data'!K323</f>
        <v>0.15097526325906815</v>
      </c>
      <c r="AF57" s="71">
        <f>'Summary Data'!K350</f>
        <v>0.14951974796935219</v>
      </c>
      <c r="AG57" s="71">
        <f>'Summary Data'!K377</f>
        <v>0.15099228271254969</v>
      </c>
      <c r="AH57" s="71">
        <f>'Summary Data'!K404</f>
        <v>0.15159803906306382</v>
      </c>
      <c r="AI57" s="71">
        <f>'Summary Data'!K431</f>
        <v>0.15068342961859776</v>
      </c>
      <c r="AJ57" s="71">
        <f>'Summary Data'!K458</f>
        <v>0.14775116925247336</v>
      </c>
      <c r="AK57" s="71"/>
      <c r="AL57" s="71"/>
      <c r="AM57" s="71"/>
    </row>
    <row r="58" spans="1:39" x14ac:dyDescent="0.2">
      <c r="A58" s="2">
        <v>2040</v>
      </c>
      <c r="B58" s="71">
        <f>'Summary Data'!J21</f>
        <v>0.17427726239777466</v>
      </c>
      <c r="C58" s="71">
        <f>'Summary Data'!J49</f>
        <v>0.17256798450732388</v>
      </c>
      <c r="D58" s="71">
        <f>'Summary Data'!J78</f>
        <v>0.17287069919149931</v>
      </c>
      <c r="E58" s="71">
        <f>'Summary Data'!J108</f>
        <v>0.16986779353593665</v>
      </c>
      <c r="F58" s="71">
        <f>'Summary Data'!J135</f>
        <v>0.17414255773921042</v>
      </c>
      <c r="G58" s="71">
        <f>'Summary Data'!J162</f>
        <v>0.17460160693086152</v>
      </c>
      <c r="H58" s="71">
        <f>'Summary Data'!J189</f>
        <v>0.17153990254814105</v>
      </c>
      <c r="I58" s="71">
        <f>'Summary Data'!J216</f>
        <v>0.17408185707681109</v>
      </c>
      <c r="J58" s="71">
        <f>'Summary Data'!J243</f>
        <v>0.17734911488268665</v>
      </c>
      <c r="K58" s="71">
        <f>'Summary Data'!J270</f>
        <v>0.17261178206917591</v>
      </c>
      <c r="L58" s="71">
        <f>'Summary Data'!J297</f>
        <v>0.16927402684320081</v>
      </c>
      <c r="M58" s="71">
        <f>'Summary Data'!J324</f>
        <v>0.17538869018478481</v>
      </c>
      <c r="N58" s="71">
        <f>'Summary Data'!J351</f>
        <v>0.16930760878464626</v>
      </c>
      <c r="O58" s="71">
        <f>'Summary Data'!J378</f>
        <v>0.17326800244176119</v>
      </c>
      <c r="P58" s="71">
        <f>'Summary Data'!J405</f>
        <v>0.17526435079911903</v>
      </c>
      <c r="Q58" s="71">
        <f>'Summary Data'!J432</f>
        <v>0.17452799398261634</v>
      </c>
      <c r="R58" s="71">
        <f>'Summary Data'!J459</f>
        <v>0.18606720571198881</v>
      </c>
      <c r="S58" s="71"/>
      <c r="T58" s="71">
        <f>'Summary Data'!K21</f>
        <v>0.1512053284219628</v>
      </c>
      <c r="U58" s="71">
        <f>'Summary Data'!K49</f>
        <v>0.15172073060513705</v>
      </c>
      <c r="V58" s="71">
        <f>'Summary Data'!K78</f>
        <v>0.15202215203096095</v>
      </c>
      <c r="W58" s="71">
        <f>'Summary Data'!K108</f>
        <v>0.14904927400963464</v>
      </c>
      <c r="X58" s="71">
        <f>'Summary Data'!K135</f>
        <v>0.15313257683651574</v>
      </c>
      <c r="Y58" s="71">
        <f>'Summary Data'!K162</f>
        <v>0.15215547883262751</v>
      </c>
      <c r="Z58" s="71">
        <f>'Summary Data'!K189</f>
        <v>0.15114194259523456</v>
      </c>
      <c r="AA58" s="71">
        <f>'Summary Data'!K216</f>
        <v>0.15242670186694343</v>
      </c>
      <c r="AB58" s="71">
        <f>'Summary Data'!K243</f>
        <v>0.15862356189266913</v>
      </c>
      <c r="AC58" s="71">
        <f>'Summary Data'!K270</f>
        <v>0.14610760617564814</v>
      </c>
      <c r="AD58" s="71">
        <f>'Summary Data'!K297</f>
        <v>0.14968412888036234</v>
      </c>
      <c r="AE58" s="71">
        <f>'Summary Data'!K324</f>
        <v>0.15447758714760107</v>
      </c>
      <c r="AF58" s="71">
        <f>'Summary Data'!K351</f>
        <v>0.15199079401159277</v>
      </c>
      <c r="AG58" s="71">
        <f>'Summary Data'!K378</f>
        <v>0.15401407492889671</v>
      </c>
      <c r="AH58" s="71">
        <f>'Summary Data'!K405</f>
        <v>0.15484694368204094</v>
      </c>
      <c r="AI58" s="71">
        <f>'Summary Data'!K432</f>
        <v>0.15458451127864292</v>
      </c>
      <c r="AJ58" s="71">
        <f>'Summary Data'!K459</f>
        <v>0.15037043430273583</v>
      </c>
      <c r="AK58" s="71"/>
      <c r="AL58" s="71"/>
      <c r="AM58" s="71"/>
    </row>
    <row r="59" spans="1:39" x14ac:dyDescent="0.2">
      <c r="A59" s="2">
        <v>2041</v>
      </c>
      <c r="B59" s="71">
        <f>'Summary Data'!J22</f>
        <v>0.17969159137707019</v>
      </c>
      <c r="C59" s="71">
        <f>'Summary Data'!J50</f>
        <v>0.17674580841185469</v>
      </c>
      <c r="D59" s="71">
        <f>'Summary Data'!J79</f>
        <v>0.17371256999468601</v>
      </c>
      <c r="E59" s="71">
        <f>'Summary Data'!J109</f>
        <v>0.17112739770475699</v>
      </c>
      <c r="F59" s="71">
        <f>'Summary Data'!J136</f>
        <v>0.17730702302170034</v>
      </c>
      <c r="G59" s="71">
        <f>'Summary Data'!J163</f>
        <v>0.1790872230081669</v>
      </c>
      <c r="H59" s="71">
        <f>'Summary Data'!J190</f>
        <v>0.17532440968383753</v>
      </c>
      <c r="I59" s="71">
        <f>'Summary Data'!J217</f>
        <v>0.17910749659665243</v>
      </c>
      <c r="J59" s="71">
        <f>'Summary Data'!J244</f>
        <v>0.18235571175098844</v>
      </c>
      <c r="K59" s="71">
        <f>'Summary Data'!J271</f>
        <v>0.17726444785777778</v>
      </c>
      <c r="L59" s="71">
        <f>'Summary Data'!J298</f>
        <v>0.17252392553583593</v>
      </c>
      <c r="M59" s="71">
        <f>'Summary Data'!J325</f>
        <v>0.17950630380093285</v>
      </c>
      <c r="N59" s="71">
        <f>'Summary Data'!J352</f>
        <v>0.17348370892955942</v>
      </c>
      <c r="O59" s="71">
        <f>'Summary Data'!J379</f>
        <v>0.17852284974722607</v>
      </c>
      <c r="P59" s="71">
        <f>'Summary Data'!J406</f>
        <v>0.17955050903625139</v>
      </c>
      <c r="Q59" s="71">
        <f>'Summary Data'!J433</f>
        <v>0.17859680565763197</v>
      </c>
      <c r="R59" s="71">
        <f>'Summary Data'!J460</f>
        <v>0.19223710363028521</v>
      </c>
      <c r="S59" s="71"/>
      <c r="T59" s="71">
        <f>'Summary Data'!K22</f>
        <v>0.15244770941997274</v>
      </c>
      <c r="U59" s="71">
        <f>'Summary Data'!K50</f>
        <v>0.15306658045387628</v>
      </c>
      <c r="V59" s="71">
        <f>'Summary Data'!K79</f>
        <v>0.15524956081119512</v>
      </c>
      <c r="W59" s="71">
        <f>'Summary Data'!K109</f>
        <v>0.14824326617725125</v>
      </c>
      <c r="X59" s="71">
        <f>'Summary Data'!K136</f>
        <v>0.15525934828348906</v>
      </c>
      <c r="Y59" s="71">
        <f>'Summary Data'!K163</f>
        <v>0.15283635319523706</v>
      </c>
      <c r="Z59" s="71">
        <f>'Summary Data'!K190</f>
        <v>0.15263671456886577</v>
      </c>
      <c r="AA59" s="71">
        <f>'Summary Data'!K217</f>
        <v>0.1521713978910598</v>
      </c>
      <c r="AB59" s="71">
        <f>'Summary Data'!K244</f>
        <v>0.16132183024542718</v>
      </c>
      <c r="AC59" s="71">
        <f>'Summary Data'!K271</f>
        <v>0.14673044522561773</v>
      </c>
      <c r="AD59" s="71">
        <f>'Summary Data'!K298</f>
        <v>0.15009976145986076</v>
      </c>
      <c r="AE59" s="71">
        <f>'Summary Data'!K325</f>
        <v>0.15476826903242549</v>
      </c>
      <c r="AF59" s="71">
        <f>'Summary Data'!K352</f>
        <v>0.15149292272013626</v>
      </c>
      <c r="AG59" s="71">
        <f>'Summary Data'!K379</f>
        <v>0.15398468265810844</v>
      </c>
      <c r="AH59" s="71">
        <f>'Summary Data'!K406</f>
        <v>0.15618681448001409</v>
      </c>
      <c r="AI59" s="71">
        <f>'Summary Data'!K433</f>
        <v>0.15624753354128881</v>
      </c>
      <c r="AJ59" s="71">
        <f>'Summary Data'!K460</f>
        <v>0.15254412042689433</v>
      </c>
      <c r="AK59" s="71"/>
      <c r="AL59" s="71"/>
      <c r="AM59" s="71"/>
    </row>
    <row r="60" spans="1:39" x14ac:dyDescent="0.2">
      <c r="A60" s="2">
        <v>2042</v>
      </c>
      <c r="B60" s="71">
        <f>'Summary Data'!J23</f>
        <v>0.19186011274628614</v>
      </c>
      <c r="C60" s="71">
        <f>'Summary Data'!J51</f>
        <v>0.18881169954941199</v>
      </c>
      <c r="D60" s="71">
        <f>'Summary Data'!J80</f>
        <v>0.18204958812009789</v>
      </c>
      <c r="E60" s="71">
        <f>'Summary Data'!J110</f>
        <v>0.17567547496875652</v>
      </c>
      <c r="F60" s="71">
        <f>'Summary Data'!J137</f>
        <v>0.18853552075340191</v>
      </c>
      <c r="G60" s="71">
        <f>'Summary Data'!J164</f>
        <v>0.19012407271313359</v>
      </c>
      <c r="H60" s="71">
        <f>'Summary Data'!J191</f>
        <v>0.18299858308531916</v>
      </c>
      <c r="I60" s="71">
        <f>'Summary Data'!J218</f>
        <v>0.19187016623202649</v>
      </c>
      <c r="J60" s="71">
        <f>'Summary Data'!J245</f>
        <v>0.19465499240281417</v>
      </c>
      <c r="K60" s="71">
        <f>'Summary Data'!J272</f>
        <v>0.18976323414758225</v>
      </c>
      <c r="L60" s="71">
        <f>'Summary Data'!J299</f>
        <v>0.18335986199674745</v>
      </c>
      <c r="M60" s="71">
        <f>'Summary Data'!J326</f>
        <v>0.19527097046161754</v>
      </c>
      <c r="N60" s="71">
        <f>'Summary Data'!J353</f>
        <v>0.18600966727591223</v>
      </c>
      <c r="O60" s="71">
        <f>'Summary Data'!J380</f>
        <v>0.19255744952236684</v>
      </c>
      <c r="P60" s="71">
        <f>'Summary Data'!J407</f>
        <v>0.19243750383201114</v>
      </c>
      <c r="Q60" s="71">
        <f>'Summary Data'!J434</f>
        <v>0.19177411252520632</v>
      </c>
      <c r="R60" s="71">
        <f>'Summary Data'!J461</f>
        <v>0.20639830216007871</v>
      </c>
      <c r="S60" s="71"/>
      <c r="T60" s="71">
        <f>'Summary Data'!K23</f>
        <v>0.1602639870528251</v>
      </c>
      <c r="U60" s="71">
        <f>'Summary Data'!K51</f>
        <v>0.15980097868275198</v>
      </c>
      <c r="V60" s="71">
        <f>'Summary Data'!K80</f>
        <v>0.16261904917002945</v>
      </c>
      <c r="W60" s="71">
        <f>'Summary Data'!K110</f>
        <v>0.15250681731356355</v>
      </c>
      <c r="X60" s="71">
        <f>'Summary Data'!K137</f>
        <v>0.16542984928161442</v>
      </c>
      <c r="Y60" s="71">
        <f>'Summary Data'!K164</f>
        <v>0.15995268081921049</v>
      </c>
      <c r="Z60" s="71">
        <f>'Summary Data'!K191</f>
        <v>0.15903272026535029</v>
      </c>
      <c r="AA60" s="71">
        <f>'Summary Data'!K218</f>
        <v>0.16014518492880614</v>
      </c>
      <c r="AB60" s="71">
        <f>'Summary Data'!K245</f>
        <v>0.16869427622272942</v>
      </c>
      <c r="AC60" s="71">
        <f>'Summary Data'!K272</f>
        <v>0.15402145434203057</v>
      </c>
      <c r="AD60" s="71">
        <f>'Summary Data'!K299</f>
        <v>0.15951537446249353</v>
      </c>
      <c r="AE60" s="71">
        <f>'Summary Data'!K326</f>
        <v>0.1683278737519327</v>
      </c>
      <c r="AF60" s="71">
        <f>'Summary Data'!K353</f>
        <v>0.1618502614828112</v>
      </c>
      <c r="AG60" s="71">
        <f>'Summary Data'!K380</f>
        <v>0.16661843205964552</v>
      </c>
      <c r="AH60" s="71">
        <f>'Summary Data'!K407</f>
        <v>0.1736304883352347</v>
      </c>
      <c r="AI60" s="71">
        <f>'Summary Data'!K434</f>
        <v>0.1637634751878026</v>
      </c>
      <c r="AJ60" s="71">
        <f>'Summary Data'!K461</f>
        <v>0.15919229986007474</v>
      </c>
      <c r="AK60" s="71"/>
      <c r="AL60" s="71"/>
      <c r="AM60" s="71"/>
    </row>
    <row r="61" spans="1:39" x14ac:dyDescent="0.2">
      <c r="A61" s="2">
        <v>2043</v>
      </c>
      <c r="B61" s="71">
        <f>'Summary Data'!J24</f>
        <v>0.19915516016697149</v>
      </c>
      <c r="C61" s="71">
        <f>'Summary Data'!J52</f>
        <v>0.19581728136969906</v>
      </c>
      <c r="D61" s="71">
        <f>'Summary Data'!J81</f>
        <v>0.18899633753950995</v>
      </c>
      <c r="E61" s="71">
        <f>'Summary Data'!J111</f>
        <v>0.18209116171918011</v>
      </c>
      <c r="F61" s="71">
        <f>'Summary Data'!J138</f>
        <v>0.19541114290991113</v>
      </c>
      <c r="G61" s="71">
        <f>'Summary Data'!J165</f>
        <v>0.19742974039195915</v>
      </c>
      <c r="H61" s="71">
        <f>'Summary Data'!J192</f>
        <v>0.19160185186861917</v>
      </c>
      <c r="I61" s="71">
        <f>'Summary Data'!J219</f>
        <v>0.19906077335432718</v>
      </c>
      <c r="J61" s="71">
        <f>'Summary Data'!J246</f>
        <v>0.20253106347972188</v>
      </c>
      <c r="K61" s="71">
        <f>'Summary Data'!J273</f>
        <v>0.19626228463463305</v>
      </c>
      <c r="L61" s="71">
        <f>'Summary Data'!J300</f>
        <v>0.19168371732157655</v>
      </c>
      <c r="M61" s="71">
        <f>'Summary Data'!J327</f>
        <v>0.20399680386527874</v>
      </c>
      <c r="N61" s="71">
        <f>'Summary Data'!J354</f>
        <v>0.19550411745324264</v>
      </c>
      <c r="O61" s="71">
        <f>'Summary Data'!J381</f>
        <v>0.20687472858979933</v>
      </c>
      <c r="P61" s="71">
        <f>'Summary Data'!J408</f>
        <v>0.20208004320425721</v>
      </c>
      <c r="Q61" s="71">
        <f>'Summary Data'!J435</f>
        <v>0.19912499163788774</v>
      </c>
      <c r="R61" s="71">
        <f>'Summary Data'!J462</f>
        <v>0.21994252299243022</v>
      </c>
      <c r="S61" s="71"/>
      <c r="T61" s="71">
        <f>'Summary Data'!K24</f>
        <v>0.1662796637358071</v>
      </c>
      <c r="U61" s="71">
        <f>'Summary Data'!K52</f>
        <v>0.16606765083048319</v>
      </c>
      <c r="V61" s="71">
        <f>'Summary Data'!K81</f>
        <v>0.16912195080203291</v>
      </c>
      <c r="W61" s="71">
        <f>'Summary Data'!K111</f>
        <v>0.15762565017014543</v>
      </c>
      <c r="X61" s="71">
        <f>'Summary Data'!K138</f>
        <v>0.17192092342299714</v>
      </c>
      <c r="Y61" s="71">
        <f>'Summary Data'!K165</f>
        <v>0.166012497617958</v>
      </c>
      <c r="Z61" s="71">
        <f>'Summary Data'!K192</f>
        <v>0.16400480416320773</v>
      </c>
      <c r="AA61" s="71">
        <f>'Summary Data'!K219</f>
        <v>0.16570014169905073</v>
      </c>
      <c r="AB61" s="71">
        <f>'Summary Data'!K246</f>
        <v>0.17466557254600237</v>
      </c>
      <c r="AC61" s="71">
        <f>'Summary Data'!K273</f>
        <v>0.15877435072401153</v>
      </c>
      <c r="AD61" s="71">
        <f>'Summary Data'!K300</f>
        <v>0.16375804390272494</v>
      </c>
      <c r="AE61" s="71">
        <f>'Summary Data'!K327</f>
        <v>0.17316945974081413</v>
      </c>
      <c r="AF61" s="71">
        <f>'Summary Data'!K354</f>
        <v>0.1673535544338442</v>
      </c>
      <c r="AG61" s="71">
        <f>'Summary Data'!K381</f>
        <v>0.17805016749672409</v>
      </c>
      <c r="AH61" s="71">
        <f>'Summary Data'!K408</f>
        <v>0.18287929548792417</v>
      </c>
      <c r="AI61" s="71">
        <f>'Summary Data'!K435</f>
        <v>0.17070299490385396</v>
      </c>
      <c r="AJ61" s="71">
        <f>'Summary Data'!K462</f>
        <v>0.16383674088291281</v>
      </c>
      <c r="AK61" s="71"/>
      <c r="AL61" s="71"/>
      <c r="AM61" s="71"/>
    </row>
    <row r="62" spans="1:39" x14ac:dyDescent="0.2">
      <c r="A62" s="2">
        <v>2044</v>
      </c>
      <c r="B62" s="71">
        <f>'Summary Data'!J25</f>
        <v>0.20606569710420519</v>
      </c>
      <c r="C62" s="71">
        <f>'Summary Data'!J53</f>
        <v>0.20183099044688341</v>
      </c>
      <c r="D62" s="71">
        <f>'Summary Data'!J82</f>
        <v>0.19382981787551312</v>
      </c>
      <c r="E62" s="71">
        <f>'Summary Data'!J112</f>
        <v>0.18843558059039042</v>
      </c>
      <c r="F62" s="71">
        <f>'Summary Data'!J139</f>
        <v>0.2013941374470794</v>
      </c>
      <c r="G62" s="71">
        <f>'Summary Data'!J166</f>
        <v>0.2059484420989981</v>
      </c>
      <c r="H62" s="71">
        <f>'Summary Data'!J193</f>
        <v>0.19925044311782178</v>
      </c>
      <c r="I62" s="71">
        <f>'Summary Data'!J220</f>
        <v>0.20439434643760598</v>
      </c>
      <c r="J62" s="71">
        <f>'Summary Data'!J247</f>
        <v>0.21067386606912597</v>
      </c>
      <c r="K62" s="71">
        <f>'Summary Data'!J274</f>
        <v>0.20459297758204878</v>
      </c>
      <c r="L62" s="71">
        <f>'Summary Data'!J301</f>
        <v>0.19839866382119853</v>
      </c>
      <c r="M62" s="71">
        <f>'Summary Data'!J328</f>
        <v>0.21351911572581794</v>
      </c>
      <c r="N62" s="71">
        <f>'Summary Data'!J355</f>
        <v>0.20214602101095974</v>
      </c>
      <c r="O62" s="71">
        <f>'Summary Data'!J382</f>
        <v>0.2108071330823981</v>
      </c>
      <c r="P62" s="71">
        <f>'Summary Data'!J409</f>
        <v>0.20940111759190014</v>
      </c>
      <c r="Q62" s="71">
        <f>'Summary Data'!J436</f>
        <v>0.20601322439862185</v>
      </c>
      <c r="R62" s="71">
        <f>'Summary Data'!J463</f>
        <v>0.22748425346248036</v>
      </c>
      <c r="S62" s="71"/>
      <c r="T62" s="71">
        <f>'Summary Data'!K25</f>
        <v>0.17159350599402406</v>
      </c>
      <c r="U62" s="71">
        <f>'Summary Data'!K53</f>
        <v>0.17166091631788855</v>
      </c>
      <c r="V62" s="71">
        <f>'Summary Data'!K82</f>
        <v>0.17480942954375001</v>
      </c>
      <c r="W62" s="71">
        <f>'Summary Data'!K112</f>
        <v>0.16369170966561733</v>
      </c>
      <c r="X62" s="71">
        <f>'Summary Data'!K139</f>
        <v>0.17868674520353606</v>
      </c>
      <c r="Y62" s="71">
        <f>'Summary Data'!K166</f>
        <v>0.17156347636051084</v>
      </c>
      <c r="Z62" s="71">
        <f>'Summary Data'!K193</f>
        <v>0.16898493902847861</v>
      </c>
      <c r="AA62" s="71">
        <f>'Summary Data'!K220</f>
        <v>0.17106223459374537</v>
      </c>
      <c r="AB62" s="71">
        <f>'Summary Data'!K247</f>
        <v>0.17949036270958235</v>
      </c>
      <c r="AC62" s="71">
        <f>'Summary Data'!K274</f>
        <v>0.16349617523532761</v>
      </c>
      <c r="AD62" s="71">
        <f>'Summary Data'!K301</f>
        <v>0.16952657394524243</v>
      </c>
      <c r="AE62" s="71">
        <f>'Summary Data'!K328</f>
        <v>0.18493467605914893</v>
      </c>
      <c r="AF62" s="71">
        <f>'Summary Data'!K355</f>
        <v>0.17352618018321495</v>
      </c>
      <c r="AG62" s="71">
        <f>'Summary Data'!K382</f>
        <v>0.18279435174124753</v>
      </c>
      <c r="AH62" s="71">
        <f>'Summary Data'!K409</f>
        <v>0.18923930944350639</v>
      </c>
      <c r="AI62" s="71">
        <f>'Summary Data'!K436</f>
        <v>0.17650638653744435</v>
      </c>
      <c r="AJ62" s="71">
        <f>'Summary Data'!K463</f>
        <v>0.16912579021063212</v>
      </c>
      <c r="AK62" s="71"/>
      <c r="AL62" s="71"/>
      <c r="AM62" s="71"/>
    </row>
    <row r="63" spans="1:39" x14ac:dyDescent="0.2">
      <c r="A63" s="2">
        <v>2045</v>
      </c>
      <c r="B63" s="71">
        <f>'Summary Data'!J26</f>
        <v>0.23402456426830173</v>
      </c>
      <c r="C63" s="71">
        <f>'Summary Data'!J54</f>
        <v>0.2223633905095804</v>
      </c>
      <c r="D63" s="71">
        <f>'Summary Data'!J83</f>
        <v>0.2046221874849706</v>
      </c>
      <c r="E63" s="71">
        <f>'Summary Data'!J113</f>
        <v>0.1940355520856471</v>
      </c>
      <c r="F63" s="71">
        <f>'Summary Data'!J140</f>
        <v>0.2228832831258708</v>
      </c>
      <c r="G63" s="71">
        <f>'Summary Data'!J167</f>
        <v>0.24197065133684836</v>
      </c>
      <c r="H63" s="71">
        <f>'Summary Data'!J194</f>
        <v>0.23343185468350577</v>
      </c>
      <c r="I63" s="71">
        <f>'Summary Data'!J221</f>
        <v>0.23354375234411018</v>
      </c>
      <c r="J63" s="71">
        <f>'Summary Data'!J248</f>
        <v>0.24345501600713038</v>
      </c>
      <c r="K63" s="71">
        <f>'Summary Data'!J275</f>
        <v>0.23317707226319012</v>
      </c>
      <c r="L63" s="71">
        <f>'Summary Data'!J302</f>
        <v>0.22702652928590714</v>
      </c>
      <c r="M63" s="71">
        <f>'Summary Data'!J329</f>
        <v>0.25937757140777984</v>
      </c>
      <c r="N63" s="71">
        <f>'Summary Data'!J356</f>
        <v>0.24357133085008276</v>
      </c>
      <c r="O63" s="71">
        <f>'Summary Data'!J383</f>
        <v>0.27260001890822932</v>
      </c>
      <c r="P63" s="71">
        <f>'Summary Data'!J410</f>
        <v>0.24008834157082209</v>
      </c>
      <c r="Q63" s="71">
        <f>'Summary Data'!J437</f>
        <v>0.23536266277583834</v>
      </c>
      <c r="R63" s="71">
        <f>'Summary Data'!J464</f>
        <v>0.30228617105748995</v>
      </c>
      <c r="S63" s="71"/>
      <c r="T63" s="71">
        <f>'Summary Data'!K26</f>
        <v>0.18460326731151203</v>
      </c>
      <c r="U63" s="71">
        <f>'Summary Data'!K54</f>
        <v>0.1806547710836616</v>
      </c>
      <c r="V63" s="71">
        <f>'Summary Data'!K83</f>
        <v>0.18389149084065629</v>
      </c>
      <c r="W63" s="71">
        <f>'Summary Data'!K113</f>
        <v>0.16942603612961071</v>
      </c>
      <c r="X63" s="71">
        <f>'Summary Data'!K140</f>
        <v>0.18809055905351307</v>
      </c>
      <c r="Y63" s="71">
        <f>'Summary Data'!K167</f>
        <v>0.18555078866115138</v>
      </c>
      <c r="Z63" s="71">
        <f>'Summary Data'!K194</f>
        <v>0.17924416770975352</v>
      </c>
      <c r="AA63" s="71">
        <f>'Summary Data'!K221</f>
        <v>0.18374193116994875</v>
      </c>
      <c r="AB63" s="71">
        <f>'Summary Data'!K248</f>
        <v>0.19193893864633696</v>
      </c>
      <c r="AC63" s="71">
        <f>'Summary Data'!K275</f>
        <v>0.17558613906550938</v>
      </c>
      <c r="AD63" s="71">
        <f>'Summary Data'!K302</f>
        <v>0.18560142987365294</v>
      </c>
      <c r="AE63" s="71">
        <f>'Summary Data'!K329</f>
        <v>0.19506363244461991</v>
      </c>
      <c r="AF63" s="71">
        <f>'Summary Data'!K356</f>
        <v>0.19404108934597813</v>
      </c>
      <c r="AG63" s="71">
        <f>'Summary Data'!K383</f>
        <v>0.19535094624583896</v>
      </c>
      <c r="AH63" s="71">
        <f>'Summary Data'!K410</f>
        <v>0.25887415396330338</v>
      </c>
      <c r="AI63" s="71">
        <f>'Summary Data'!K437</f>
        <v>0.18790292382846582</v>
      </c>
      <c r="AJ63" s="71">
        <f>'Summary Data'!K464</f>
        <v>0.18170689885797672</v>
      </c>
      <c r="AK63" s="71"/>
      <c r="AL63" s="71"/>
      <c r="AM63" s="71"/>
    </row>
    <row r="64" spans="1:39" x14ac:dyDescent="0.2">
      <c r="K64" s="71"/>
    </row>
    <row r="65" spans="1:57" x14ac:dyDescent="0.2">
      <c r="A65" s="63" t="s">
        <v>67</v>
      </c>
      <c r="C65" s="72">
        <f t="shared" ref="C65:I65" si="78">(C48-$B48)/$B48</f>
        <v>-4.8466055627997091E-3</v>
      </c>
      <c r="D65" s="72">
        <f t="shared" si="78"/>
        <v>-1.1495605746037773E-4</v>
      </c>
      <c r="E65" s="72">
        <f t="shared" si="78"/>
        <v>1.0312567145476518E-5</v>
      </c>
      <c r="F65" s="72">
        <f t="shared" si="78"/>
        <v>-1.1495605746037773E-4</v>
      </c>
      <c r="G65" s="72">
        <f t="shared" si="78"/>
        <v>2.5519963686383083E-4</v>
      </c>
      <c r="H65" s="72">
        <f t="shared" si="78"/>
        <v>7.4876910420251666E-4</v>
      </c>
      <c r="I65" s="72">
        <f t="shared" si="78"/>
        <v>1.6348785126704187E-3</v>
      </c>
      <c r="J65" s="72">
        <f t="shared" ref="J65:K65" si="79">(J48-$B48)/$B48</f>
        <v>1.0188828942895535E-2</v>
      </c>
      <c r="K65" s="72">
        <f t="shared" si="79"/>
        <v>-3.2433036471047447E-3</v>
      </c>
      <c r="L65" s="72">
        <f t="shared" ref="L65:M65" si="80">(L48-$B48)/$B48</f>
        <v>-1.2009045777044595E-4</v>
      </c>
      <c r="M65" s="72">
        <f t="shared" si="80"/>
        <v>-1.3063230213149063E-2</v>
      </c>
      <c r="N65" s="72">
        <f t="shared" ref="N65:O65" si="81">(N48-$B48)/$B48</f>
        <v>-8.3353293073935662E-3</v>
      </c>
      <c r="O65" s="72">
        <f t="shared" si="81"/>
        <v>-8.9174414866328138E-3</v>
      </c>
      <c r="P65" s="72">
        <f t="shared" ref="P65:Q65" si="82">(P48-$B48)/$B48</f>
        <v>7.563684250468908E-4</v>
      </c>
      <c r="Q65" s="72">
        <f t="shared" si="82"/>
        <v>8.3688096385572302E-4</v>
      </c>
      <c r="R65" s="72">
        <f t="shared" ref="R65" si="83">(R48-$B48)/$B48</f>
        <v>6.7584147479270327E-3</v>
      </c>
      <c r="S65" s="72"/>
      <c r="U65" s="72">
        <f>(U48-$T48)/$T48</f>
        <v>1.1589110680033719E-3</v>
      </c>
      <c r="V65" s="72">
        <f>(V48-$T48)/$T48</f>
        <v>-3.3901927630828718E-5</v>
      </c>
      <c r="W65" s="72">
        <f>(W48-$T48)/$T48</f>
        <v>-6.0882485823727519E-4</v>
      </c>
      <c r="X65" s="72">
        <f>(X48-$T48)/$T48</f>
        <v>-3.3901927630828718E-5</v>
      </c>
      <c r="Y65" s="72">
        <f>(Y48-$T48)/$T48</f>
        <v>7.8255635670338906E-5</v>
      </c>
      <c r="Z65" s="72">
        <f t="shared" ref="Z65:AA65" si="84">(Z48-$T48)/$T48</f>
        <v>1.6592210256319073E-4</v>
      </c>
      <c r="AA65" s="72">
        <f t="shared" si="84"/>
        <v>1.5094520810150294E-2</v>
      </c>
      <c r="AB65" s="72">
        <f t="shared" ref="AB65:AC65" si="85">(AB48-$T48)/$T48</f>
        <v>1.4620030435001234E-2</v>
      </c>
      <c r="AC65" s="72">
        <f t="shared" si="85"/>
        <v>-1.3656813437183161E-2</v>
      </c>
      <c r="AD65" s="72">
        <f t="shared" ref="AD65:AE65" si="86">(AD48-$T48)/$T48</f>
        <v>1.1775025653804949E-5</v>
      </c>
      <c r="AE65" s="72">
        <f t="shared" si="86"/>
        <v>4.1224615364614681E-4</v>
      </c>
      <c r="AF65" s="72">
        <f t="shared" ref="AF65:AG65" si="87">(AF48-$T48)/$T48</f>
        <v>1.2058093761257262E-3</v>
      </c>
      <c r="AG65" s="72">
        <f t="shared" si="87"/>
        <v>1.8522854399505287E-3</v>
      </c>
      <c r="AH65" s="72">
        <f t="shared" ref="AH65:AI65" si="88">(AH48-$T48)/$T48</f>
        <v>3.3174649950235614E-3</v>
      </c>
      <c r="AI65" s="72">
        <f t="shared" si="88"/>
        <v>-1.7725707540216231E-3</v>
      </c>
      <c r="AJ65" s="72">
        <f t="shared" ref="AJ65" si="89">(AJ48-$T48)/$T48</f>
        <v>-7.1636663142268504E-5</v>
      </c>
      <c r="AK65" s="72"/>
      <c r="AL65" s="72"/>
      <c r="AM65" s="72"/>
      <c r="AN65" s="72"/>
      <c r="AO65" s="72"/>
    </row>
    <row r="66" spans="1:57" x14ac:dyDescent="0.2">
      <c r="A66" s="63" t="s">
        <v>68</v>
      </c>
      <c r="C66" s="72">
        <f t="shared" ref="C66:I66" si="90">(C63-$B63)/$B63</f>
        <v>-4.9828845083767219E-2</v>
      </c>
      <c r="D66" s="72">
        <f t="shared" si="90"/>
        <v>-0.12563799392281846</v>
      </c>
      <c r="E66" s="72">
        <f t="shared" si="90"/>
        <v>-0.17087527673722533</v>
      </c>
      <c r="F66" s="72">
        <f t="shared" si="90"/>
        <v>-4.760731497253342E-2</v>
      </c>
      <c r="G66" s="72">
        <f t="shared" si="90"/>
        <v>3.3954072699123559E-2</v>
      </c>
      <c r="H66" s="72">
        <f t="shared" si="90"/>
        <v>-2.5326810740962892E-3</v>
      </c>
      <c r="I66" s="72">
        <f t="shared" si="90"/>
        <v>-2.0545361368147605E-3</v>
      </c>
      <c r="J66" s="72">
        <f t="shared" ref="J66:K66" si="91">(J63-$B63)/$B63</f>
        <v>4.0296845625217917E-2</v>
      </c>
      <c r="K66" s="72">
        <f t="shared" si="91"/>
        <v>-3.6213805493511705E-3</v>
      </c>
      <c r="L66" s="72">
        <f t="shared" ref="L66:M66" si="92">(L63-$B63)/$B63</f>
        <v>-2.9902993321553935E-2</v>
      </c>
      <c r="M66" s="72">
        <f t="shared" si="92"/>
        <v>0.10833481185509949</v>
      </c>
      <c r="N66" s="72">
        <f t="shared" ref="N66:O66" si="93">(N63-$B63)/$B63</f>
        <v>4.0793865428741742E-2</v>
      </c>
      <c r="O66" s="72">
        <f t="shared" si="93"/>
        <v>0.16483506661164876</v>
      </c>
      <c r="P66" s="72">
        <f t="shared" ref="P66:Q66" si="94">(P63-$B63)/$B63</f>
        <v>2.591085821045877E-2</v>
      </c>
      <c r="Q66" s="72">
        <f t="shared" si="94"/>
        <v>5.717769464587138E-3</v>
      </c>
      <c r="R66" s="72">
        <f t="shared" ref="R66" si="95">(R63-$B63)/$B63</f>
        <v>0.2916856484814494</v>
      </c>
      <c r="S66" s="72"/>
      <c r="U66" s="72">
        <f>(U63-$T63)/$T63</f>
        <v>-2.1389091782365203E-2</v>
      </c>
      <c r="V66" s="72">
        <f>(V63-$T63)/$T63</f>
        <v>-3.8557089547859458E-3</v>
      </c>
      <c r="W66" s="72">
        <f>(W63-$T63)/$T63</f>
        <v>-8.2215398475533094E-2</v>
      </c>
      <c r="X66" s="72">
        <f>(X63-$T63)/$T63</f>
        <v>1.8890736836831581E-2</v>
      </c>
      <c r="Y66" s="72">
        <f>(Y63-$T63)/$T63</f>
        <v>5.1327442002445187E-3</v>
      </c>
      <c r="Z66" s="72">
        <f t="shared" ref="Z66:AA66" si="96">(Z63-$T63)/$T63</f>
        <v>-2.9030361595470591E-2</v>
      </c>
      <c r="AA66" s="72">
        <f t="shared" si="96"/>
        <v>-4.6658770134864538E-3</v>
      </c>
      <c r="AB66" s="72">
        <f t="shared" ref="AB66:AC66" si="97">(AB63-$T63)/$T63</f>
        <v>3.973749458316047E-2</v>
      </c>
      <c r="AC66" s="72">
        <f t="shared" si="97"/>
        <v>-4.8845984024684333E-2</v>
      </c>
      <c r="AD66" s="72">
        <f t="shared" ref="AD66:AE66" si="98">(AD63-$T63)/$T63</f>
        <v>5.4070687733632963E-3</v>
      </c>
      <c r="AE66" s="72">
        <f t="shared" si="98"/>
        <v>5.666403030373432E-2</v>
      </c>
      <c r="AF66" s="72">
        <f t="shared" ref="AF66:AG66" si="99">(AF63-$T63)/$T63</f>
        <v>5.1124891622530658E-2</v>
      </c>
      <c r="AG66" s="72">
        <f t="shared" si="99"/>
        <v>5.8220415547632604E-2</v>
      </c>
      <c r="AH66" s="72">
        <f t="shared" ref="AH66:AI66" si="100">(AH63-$T63)/$T63</f>
        <v>0.40232704292531096</v>
      </c>
      <c r="AI66" s="72">
        <f t="shared" si="100"/>
        <v>1.787431265442195E-2</v>
      </c>
      <c r="AJ66" s="72">
        <f t="shared" ref="AJ66" si="101">(AJ63-$T63)/$T63</f>
        <v>-1.5689692255813518E-2</v>
      </c>
      <c r="AK66" s="72"/>
      <c r="AL66" s="72"/>
      <c r="AM66" s="72"/>
      <c r="AN66" s="72"/>
      <c r="AO66" s="72"/>
    </row>
    <row r="67" spans="1:57" x14ac:dyDescent="0.2"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</row>
    <row r="68" spans="1:57" x14ac:dyDescent="0.2"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</row>
    <row r="69" spans="1:57" x14ac:dyDescent="0.2"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</row>
    <row r="70" spans="1:57" x14ac:dyDescent="0.2"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</row>
    <row r="71" spans="1:57" x14ac:dyDescent="0.2">
      <c r="AO71" s="60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1:57" x14ac:dyDescent="0.2">
      <c r="AO72" s="60"/>
      <c r="AP72" s="73"/>
      <c r="AQ72" s="73"/>
      <c r="AR72" s="73"/>
      <c r="AS72" s="73"/>
      <c r="AU72" s="66"/>
      <c r="AV72" s="66"/>
      <c r="AW72" s="66"/>
      <c r="AX72" s="66"/>
      <c r="AY72" s="66"/>
      <c r="AZ72" s="66"/>
      <c r="BB72" s="72"/>
      <c r="BC72" s="72"/>
      <c r="BD72" s="72"/>
      <c r="BE72" s="72"/>
    </row>
    <row r="73" spans="1:57" x14ac:dyDescent="0.2">
      <c r="AO73" s="60"/>
      <c r="AP73" s="73"/>
      <c r="AQ73" s="73"/>
      <c r="AR73" s="73"/>
      <c r="AS73" s="73"/>
      <c r="AU73" s="66"/>
      <c r="AV73" s="66"/>
      <c r="AW73" s="66"/>
      <c r="AX73" s="66"/>
      <c r="AY73" s="66"/>
      <c r="AZ73" s="66"/>
      <c r="BB73" s="72"/>
      <c r="BC73" s="72"/>
      <c r="BD73" s="72"/>
      <c r="BE73" s="72"/>
    </row>
    <row r="74" spans="1:57" x14ac:dyDescent="0.2">
      <c r="AO74" s="60"/>
      <c r="AP74" s="73"/>
      <c r="AQ74" s="73"/>
      <c r="AR74" s="73"/>
      <c r="AS74" s="73"/>
      <c r="AU74" s="66"/>
      <c r="AV74" s="66"/>
      <c r="AW74" s="66"/>
      <c r="AX74" s="66"/>
      <c r="AY74" s="66"/>
      <c r="AZ74" s="66"/>
      <c r="BB74" s="72"/>
      <c r="BC74" s="72"/>
      <c r="BD74" s="72"/>
      <c r="BE74" s="72"/>
    </row>
    <row r="75" spans="1:57" x14ac:dyDescent="0.2">
      <c r="AO75" s="60"/>
      <c r="AP75" s="73"/>
      <c r="AQ75" s="73"/>
      <c r="AR75" s="73"/>
      <c r="AS75" s="73"/>
      <c r="AU75" s="66"/>
      <c r="AV75" s="66"/>
      <c r="AW75" s="66"/>
      <c r="AX75" s="66"/>
      <c r="AY75" s="66"/>
      <c r="AZ75" s="66"/>
      <c r="BB75" s="72"/>
      <c r="BC75" s="72"/>
      <c r="BD75" s="72"/>
      <c r="BE75" s="72"/>
    </row>
    <row r="76" spans="1:57" x14ac:dyDescent="0.2">
      <c r="AO76" s="60"/>
      <c r="AP76" s="73"/>
      <c r="AQ76" s="73"/>
      <c r="AR76" s="73"/>
      <c r="AS76" s="73"/>
      <c r="AU76" s="66"/>
      <c r="AV76" s="66"/>
      <c r="AW76" s="66"/>
      <c r="AX76" s="66"/>
      <c r="AY76" s="66"/>
      <c r="AZ76" s="66"/>
      <c r="BB76" s="72"/>
      <c r="BC76" s="72"/>
      <c r="BD76" s="72"/>
      <c r="BE76" s="72"/>
    </row>
    <row r="77" spans="1:57" x14ac:dyDescent="0.2">
      <c r="AO77" s="60"/>
      <c r="AP77" s="73"/>
      <c r="AQ77" s="73"/>
      <c r="AR77" s="73"/>
      <c r="AS77" s="73"/>
      <c r="AU77" s="66"/>
      <c r="AV77" s="66"/>
      <c r="AW77" s="66"/>
      <c r="AX77" s="66"/>
      <c r="AY77" s="66"/>
      <c r="AZ77" s="66"/>
      <c r="BB77" s="72"/>
      <c r="BC77" s="72"/>
      <c r="BD77" s="72"/>
      <c r="BE77" s="72"/>
    </row>
    <row r="78" spans="1:57" x14ac:dyDescent="0.2">
      <c r="AO78" s="60"/>
      <c r="AP78" s="73"/>
      <c r="AQ78" s="73"/>
      <c r="AR78" s="73"/>
      <c r="AS78" s="73"/>
      <c r="AU78" s="66"/>
      <c r="AV78" s="66"/>
      <c r="AW78" s="66"/>
      <c r="AX78" s="66"/>
      <c r="AY78" s="66"/>
      <c r="AZ78" s="66"/>
      <c r="BB78" s="72"/>
      <c r="BC78" s="72"/>
      <c r="BD78" s="72"/>
      <c r="BE78" s="72"/>
    </row>
    <row r="79" spans="1:57" x14ac:dyDescent="0.2">
      <c r="AO79" s="60"/>
      <c r="AP79" s="73"/>
      <c r="AQ79" s="73"/>
      <c r="AR79" s="73"/>
      <c r="AS79" s="73"/>
      <c r="AU79" s="66"/>
      <c r="AV79" s="66"/>
      <c r="AW79" s="66"/>
      <c r="AX79" s="66"/>
      <c r="AY79" s="66"/>
      <c r="AZ79" s="66"/>
      <c r="BB79" s="72"/>
      <c r="BC79" s="72"/>
      <c r="BD79" s="72"/>
      <c r="BE79" s="72"/>
    </row>
    <row r="80" spans="1:57" x14ac:dyDescent="0.2">
      <c r="AO80" s="60"/>
      <c r="AP80" s="73"/>
      <c r="AQ80" s="73"/>
      <c r="AR80" s="73"/>
      <c r="AS80" s="73"/>
      <c r="AU80" s="66"/>
      <c r="AV80" s="66"/>
      <c r="AW80" s="66"/>
      <c r="AX80" s="66"/>
      <c r="AY80" s="66"/>
      <c r="AZ80" s="66"/>
      <c r="BB80" s="72"/>
      <c r="BC80" s="72"/>
      <c r="BD80" s="72"/>
      <c r="BE80" s="72"/>
    </row>
    <row r="81" spans="1:57" x14ac:dyDescent="0.2">
      <c r="AO81" s="60"/>
      <c r="AP81" s="73"/>
      <c r="AQ81" s="73"/>
      <c r="AR81" s="73"/>
      <c r="AS81" s="73"/>
      <c r="AU81" s="66"/>
      <c r="AV81" s="66"/>
      <c r="AW81" s="66"/>
      <c r="AX81" s="66"/>
      <c r="AY81" s="66"/>
      <c r="AZ81" s="66"/>
      <c r="BB81" s="72"/>
      <c r="BC81" s="72"/>
      <c r="BD81" s="72"/>
      <c r="BE81" s="72"/>
    </row>
    <row r="82" spans="1:57" x14ac:dyDescent="0.2">
      <c r="AO82" s="60"/>
      <c r="AP82" s="73"/>
      <c r="AQ82" s="73"/>
      <c r="AR82" s="73"/>
      <c r="AS82" s="73"/>
      <c r="AU82" s="66"/>
      <c r="AV82" s="66"/>
      <c r="AW82" s="66"/>
      <c r="AX82" s="66"/>
      <c r="AY82" s="66"/>
      <c r="AZ82" s="66"/>
      <c r="BB82" s="72"/>
      <c r="BC82" s="72"/>
      <c r="BD82" s="72"/>
      <c r="BE82" s="72"/>
    </row>
    <row r="83" spans="1:57" x14ac:dyDescent="0.2">
      <c r="AO83" s="60"/>
      <c r="AP83" s="73"/>
      <c r="AQ83" s="73"/>
      <c r="AR83" s="73"/>
      <c r="AS83" s="73"/>
      <c r="AU83" s="66"/>
      <c r="AV83" s="66"/>
      <c r="AW83" s="66"/>
      <c r="AX83" s="66"/>
      <c r="AY83" s="66"/>
      <c r="AZ83" s="66"/>
      <c r="BB83" s="72"/>
      <c r="BC83" s="72"/>
      <c r="BD83" s="72"/>
      <c r="BE83" s="72"/>
    </row>
    <row r="84" spans="1:57" x14ac:dyDescent="0.2">
      <c r="AO84" s="60"/>
      <c r="AP84" s="73"/>
      <c r="AQ84" s="73"/>
      <c r="AR84" s="73"/>
      <c r="AS84" s="73"/>
      <c r="AU84" s="66"/>
      <c r="AV84" s="66"/>
      <c r="AW84" s="66"/>
      <c r="AX84" s="66"/>
      <c r="AY84" s="66"/>
      <c r="AZ84" s="66"/>
      <c r="BB84" s="72"/>
      <c r="BC84" s="72"/>
      <c r="BD84" s="72"/>
      <c r="BE84" s="72"/>
    </row>
    <row r="85" spans="1:57" x14ac:dyDescent="0.2">
      <c r="AO85" s="60"/>
      <c r="AP85" s="73"/>
      <c r="AQ85" s="73"/>
      <c r="AR85" s="73"/>
      <c r="AS85" s="73"/>
      <c r="AU85" s="66"/>
      <c r="AV85" s="66"/>
      <c r="AW85" s="66"/>
      <c r="AX85" s="66"/>
      <c r="AY85" s="66"/>
      <c r="AZ85" s="66"/>
      <c r="BB85" s="72"/>
      <c r="BC85" s="72"/>
      <c r="BD85" s="72"/>
      <c r="BE85" s="72"/>
    </row>
    <row r="86" spans="1:57" x14ac:dyDescent="0.2">
      <c r="AO86" s="60"/>
      <c r="AP86" s="73"/>
      <c r="AQ86" s="73"/>
      <c r="AR86" s="73"/>
      <c r="AS86" s="73"/>
      <c r="AU86" s="66"/>
      <c r="AV86" s="66"/>
      <c r="AW86" s="66"/>
      <c r="AX86" s="66"/>
      <c r="AY86" s="66"/>
      <c r="AZ86" s="66"/>
      <c r="BB86" s="72"/>
      <c r="BC86" s="72"/>
      <c r="BD86" s="72"/>
      <c r="BE86" s="72"/>
    </row>
    <row r="87" spans="1:57" x14ac:dyDescent="0.2">
      <c r="AO87" s="60"/>
      <c r="AP87" s="73"/>
      <c r="AQ87" s="73"/>
      <c r="AR87" s="73"/>
      <c r="AS87" s="73"/>
      <c r="AU87" s="66"/>
      <c r="AV87" s="66"/>
      <c r="AW87" s="66"/>
      <c r="AX87" s="66"/>
      <c r="AY87" s="66"/>
      <c r="AZ87" s="66"/>
      <c r="BB87" s="72"/>
      <c r="BC87" s="72"/>
      <c r="BD87" s="72"/>
      <c r="BE87" s="72"/>
    </row>
    <row r="88" spans="1:57" x14ac:dyDescent="0.2">
      <c r="AO88" s="60"/>
      <c r="AP88" s="73"/>
      <c r="AQ88" s="73"/>
      <c r="AR88" s="73"/>
      <c r="AS88" s="73"/>
      <c r="AU88" s="66"/>
      <c r="AV88" s="66"/>
      <c r="AW88" s="66"/>
      <c r="AX88" s="66"/>
      <c r="AY88" s="66"/>
      <c r="AZ88" s="66"/>
      <c r="BB88" s="72"/>
      <c r="BC88" s="72"/>
      <c r="BD88" s="72"/>
      <c r="BE88" s="72"/>
    </row>
    <row r="89" spans="1:57" x14ac:dyDescent="0.2">
      <c r="AO89" s="60"/>
      <c r="AP89" s="73"/>
      <c r="AQ89" s="73"/>
      <c r="AR89" s="73"/>
      <c r="AS89" s="73"/>
      <c r="AU89" s="66"/>
      <c r="AV89" s="66"/>
      <c r="AW89" s="66"/>
      <c r="AX89" s="66"/>
      <c r="AY89" s="66"/>
      <c r="AZ89" s="66"/>
      <c r="BB89" s="72"/>
      <c r="BC89" s="72"/>
      <c r="BD89" s="72"/>
      <c r="BE89" s="72"/>
    </row>
    <row r="95" spans="1:57" s="69" customFormat="1" ht="15" x14ac:dyDescent="0.25">
      <c r="A95" s="69" t="s">
        <v>61</v>
      </c>
    </row>
    <row r="96" spans="1:57" s="70" customFormat="1" ht="76.5" x14ac:dyDescent="0.2">
      <c r="B96" s="60" t="str">
        <f>'Scenario List'!$A$3</f>
        <v>1- Preferred Resource Strategy</v>
      </c>
      <c r="C96" s="60" t="str">
        <f>'Scenario List'!$A$4</f>
        <v>2- Alternative Lowest Reasonable Cost Portfolio</v>
      </c>
      <c r="D96" s="60" t="str">
        <f>'Scenario List'!$A$5</f>
        <v>3- Baseline Portfolio</v>
      </c>
      <c r="E96" s="60" t="str">
        <f>'Scenario List'!$A$6</f>
        <v>4- No Resource Additions</v>
      </c>
      <c r="F96" s="60" t="str">
        <f>'Scenario List'!$A$7</f>
        <v>5- No CETA/ No new NG</v>
      </c>
      <c r="G96" s="60" t="str">
        <f>'Scenario List'!$A$8</f>
        <v>6- WRAP PRM</v>
      </c>
      <c r="H96" s="60" t="str">
        <f>'Scenario List'!$A$9</f>
        <v>7- WRAP PRM No QCC Changes</v>
      </c>
      <c r="I96" s="60" t="str">
        <f>'Scenario List'!$A$10</f>
        <v>8- VERs Assigned to Washington</v>
      </c>
      <c r="J96" s="60" t="str">
        <f>'Scenario List'!$A$11</f>
        <v>9- Low Economic Growth Loads</v>
      </c>
      <c r="K96" s="60" t="str">
        <f>'Scenario List'!$A$12</f>
        <v>10- High Economic Growth Loads</v>
      </c>
      <c r="L96" s="60" t="str">
        <f>'Scenario List'!$A$13</f>
        <v>11- High Electric Vehicle Growth</v>
      </c>
      <c r="M96" s="60" t="str">
        <f>'Scenario List'!$A$14</f>
        <v>12- WA Space/ Water Electrification</v>
      </c>
      <c r="N96" s="60" t="str">
        <f>'Scenario List'!$A$15</f>
        <v>13- WA Space/ Water Electrification w/NG Backup</v>
      </c>
      <c r="O96" s="60" t="str">
        <f>'Scenario List'!$A$16</f>
        <v>14- Combined Electrification</v>
      </c>
      <c r="P96" s="60" t="str">
        <f>'Scenario List'!$A$17</f>
        <v>15- Clean Portfolio by 2045</v>
      </c>
      <c r="Q96" s="125" t="str">
        <f>'Scenario List'!$A$18</f>
        <v>16- Social Cost Included for Idaho</v>
      </c>
      <c r="R96" s="125" t="str">
        <f>'Scenario List'!$A$19</f>
        <v>17- WA Maximum Customer Benefits</v>
      </c>
    </row>
    <row r="97" spans="1:19" x14ac:dyDescent="0.2">
      <c r="A97" s="2"/>
      <c r="B97" s="71"/>
      <c r="C97" s="71"/>
      <c r="D97" s="71"/>
      <c r="E97" s="71"/>
      <c r="F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</row>
    <row r="98" spans="1:19" x14ac:dyDescent="0.2">
      <c r="A98" s="2">
        <v>2023</v>
      </c>
      <c r="B98" s="71">
        <f>'Summary Data'!Q4</f>
        <v>2.8792050200375625</v>
      </c>
      <c r="C98" s="71">
        <f>'Summary Data'!Q32</f>
        <v>2.8792050200375625</v>
      </c>
      <c r="D98" s="71">
        <f>'Summary Data'!Q61</f>
        <v>2.8792050200375625</v>
      </c>
      <c r="E98" s="71">
        <f>'Summary Data'!Q91</f>
        <v>2.8792050200375625</v>
      </c>
      <c r="F98" s="71">
        <f>'Summary Data'!Q118</f>
        <v>2.8792050200375625</v>
      </c>
      <c r="G98" s="124">
        <f>'Summary Data'!Q145</f>
        <v>2.8792050200375625</v>
      </c>
      <c r="H98" s="71">
        <f>'Summary Data'!Q172</f>
        <v>2.8792050200375625</v>
      </c>
      <c r="I98" s="71">
        <f>'Summary Data'!Q199</f>
        <v>2.8792050200375625</v>
      </c>
      <c r="J98" s="71">
        <f>'Summary Data'!Q226</f>
        <v>2.8792050200375625</v>
      </c>
      <c r="K98" s="71">
        <f>'Summary Data'!Q253</f>
        <v>2.8792050200375625</v>
      </c>
      <c r="L98" s="71">
        <f>'Summary Data'!Q280</f>
        <v>2.8792050200375625</v>
      </c>
      <c r="M98" s="71">
        <f>'Summary Data'!Q307</f>
        <v>2.8792050200375625</v>
      </c>
      <c r="N98" s="71">
        <f>'Summary Data'!Q334</f>
        <v>2.8792050200375625</v>
      </c>
      <c r="O98" s="71">
        <f>'Summary Data'!Q361</f>
        <v>2.8792050200375625</v>
      </c>
      <c r="P98" s="71">
        <f>'Summary Data'!Q388</f>
        <v>2.8792050200375625</v>
      </c>
      <c r="Q98" s="71">
        <f>'Summary Data'!Q415</f>
        <v>2.8792050200375625</v>
      </c>
      <c r="R98" s="71">
        <f>'Summary Data'!Q442</f>
        <v>2.8792050200375625</v>
      </c>
      <c r="S98" s="71"/>
    </row>
    <row r="99" spans="1:19" x14ac:dyDescent="0.2">
      <c r="A99" s="2">
        <v>2024</v>
      </c>
      <c r="B99" s="71">
        <f>'Summary Data'!Q5</f>
        <v>2.9672417086309277</v>
      </c>
      <c r="C99" s="71">
        <f>'Summary Data'!Q33</f>
        <v>2.9672417086309277</v>
      </c>
      <c r="D99" s="71">
        <f>'Summary Data'!Q62</f>
        <v>2.9672417086309277</v>
      </c>
      <c r="E99" s="71">
        <f>'Summary Data'!Q92</f>
        <v>2.9672417086309277</v>
      </c>
      <c r="F99" s="71">
        <f>'Summary Data'!Q119</f>
        <v>2.9672417086309277</v>
      </c>
      <c r="G99" s="124">
        <f>'Summary Data'!Q146</f>
        <v>2.9672417086309277</v>
      </c>
      <c r="H99" s="71">
        <f>'Summary Data'!Q173</f>
        <v>2.9672417086309277</v>
      </c>
      <c r="I99" s="71">
        <f>'Summary Data'!Q200</f>
        <v>2.9672417086309277</v>
      </c>
      <c r="J99" s="71">
        <f>'Summary Data'!Q227</f>
        <v>2.9672417086309277</v>
      </c>
      <c r="K99" s="71">
        <f>'Summary Data'!Q254</f>
        <v>2.9672417086309277</v>
      </c>
      <c r="L99" s="71">
        <f>'Summary Data'!Q281</f>
        <v>2.9672417086309277</v>
      </c>
      <c r="M99" s="71">
        <f>'Summary Data'!Q308</f>
        <v>2.9672417086309277</v>
      </c>
      <c r="N99" s="71">
        <f>'Summary Data'!Q335</f>
        <v>2.9672417086309277</v>
      </c>
      <c r="O99" s="71">
        <f>'Summary Data'!Q362</f>
        <v>2.9672417086309277</v>
      </c>
      <c r="P99" s="71">
        <f>'Summary Data'!Q389</f>
        <v>2.9672417086309277</v>
      </c>
      <c r="Q99" s="71">
        <f>'Summary Data'!Q416</f>
        <v>2.9672417086309277</v>
      </c>
      <c r="R99" s="71">
        <f>'Summary Data'!Q443</f>
        <v>2.9672417086309277</v>
      </c>
      <c r="S99" s="71"/>
    </row>
    <row r="100" spans="1:19" x14ac:dyDescent="0.2">
      <c r="A100" s="2">
        <v>2025</v>
      </c>
      <c r="B100" s="71">
        <f>'Summary Data'!Q6</f>
        <v>2.7196586755011132</v>
      </c>
      <c r="C100" s="71">
        <f>'Summary Data'!Q34</f>
        <v>2.7196586755011132</v>
      </c>
      <c r="D100" s="71">
        <f>'Summary Data'!Q63</f>
        <v>2.7196586755011132</v>
      </c>
      <c r="E100" s="71">
        <f>'Summary Data'!Q93</f>
        <v>2.7196586755011132</v>
      </c>
      <c r="F100" s="71">
        <f>'Summary Data'!Q120</f>
        <v>2.7196586755011132</v>
      </c>
      <c r="G100" s="124">
        <f>'Summary Data'!Q147</f>
        <v>2.7196586755011132</v>
      </c>
      <c r="H100" s="71">
        <f>'Summary Data'!Q174</f>
        <v>2.7196586755011132</v>
      </c>
      <c r="I100" s="71">
        <f>'Summary Data'!Q201</f>
        <v>2.7196586755011132</v>
      </c>
      <c r="J100" s="71">
        <f>'Summary Data'!Q228</f>
        <v>2.7196586755011132</v>
      </c>
      <c r="K100" s="71">
        <f>'Summary Data'!Q255</f>
        <v>2.7196586755011132</v>
      </c>
      <c r="L100" s="71">
        <f>'Summary Data'!Q282</f>
        <v>2.7196586755011132</v>
      </c>
      <c r="M100" s="71">
        <f>'Summary Data'!Q309</f>
        <v>2.7196586755011132</v>
      </c>
      <c r="N100" s="71">
        <f>'Summary Data'!Q336</f>
        <v>2.7196586755011132</v>
      </c>
      <c r="O100" s="71">
        <f>'Summary Data'!Q363</f>
        <v>2.7196586755011132</v>
      </c>
      <c r="P100" s="71">
        <f>'Summary Data'!Q390</f>
        <v>2.7196586755011132</v>
      </c>
      <c r="Q100" s="71">
        <f>'Summary Data'!Q417</f>
        <v>2.7196586755011132</v>
      </c>
      <c r="R100" s="71">
        <f>'Summary Data'!Q444</f>
        <v>2.7196586755011132</v>
      </c>
      <c r="S100" s="71"/>
    </row>
    <row r="101" spans="1:19" x14ac:dyDescent="0.2">
      <c r="A101" s="2">
        <v>2026</v>
      </c>
      <c r="B101" s="71">
        <f>'Summary Data'!Q7</f>
        <v>1.4922093815351607</v>
      </c>
      <c r="C101" s="71">
        <f>'Summary Data'!Q35</f>
        <v>1.4922093815351607</v>
      </c>
      <c r="D101" s="71">
        <f>'Summary Data'!Q64</f>
        <v>1.4922093815351607</v>
      </c>
      <c r="E101" s="71">
        <f>'Summary Data'!Q94</f>
        <v>1.4922093815351607</v>
      </c>
      <c r="F101" s="71">
        <f>'Summary Data'!Q121</f>
        <v>1.4922093815351607</v>
      </c>
      <c r="G101" s="124">
        <f>'Summary Data'!Q148</f>
        <v>1.4922093815351607</v>
      </c>
      <c r="H101" s="71">
        <f>'Summary Data'!Q175</f>
        <v>1.4922093815351607</v>
      </c>
      <c r="I101" s="71">
        <f>'Summary Data'!Q202</f>
        <v>1.5481539888807414</v>
      </c>
      <c r="J101" s="71">
        <f>'Summary Data'!Q229</f>
        <v>1.4922093815351607</v>
      </c>
      <c r="K101" s="71">
        <f>'Summary Data'!Q256</f>
        <v>1.4922093815351607</v>
      </c>
      <c r="L101" s="71">
        <f>'Summary Data'!Q283</f>
        <v>1.4922093815351607</v>
      </c>
      <c r="M101" s="71">
        <f>'Summary Data'!Q310</f>
        <v>1.4922093815351607</v>
      </c>
      <c r="N101" s="71">
        <f>'Summary Data'!Q337</f>
        <v>1.4922093815351607</v>
      </c>
      <c r="O101" s="71">
        <f>'Summary Data'!Q364</f>
        <v>1.4922093815351607</v>
      </c>
      <c r="P101" s="71">
        <f>'Summary Data'!Q391</f>
        <v>1.4922093815351607</v>
      </c>
      <c r="Q101" s="71">
        <f>'Summary Data'!Q418</f>
        <v>1.4922093815351607</v>
      </c>
      <c r="R101" s="71">
        <f>'Summary Data'!Q445</f>
        <v>1.4922093815351607</v>
      </c>
      <c r="S101" s="71"/>
    </row>
    <row r="102" spans="1:19" x14ac:dyDescent="0.2">
      <c r="A102" s="2">
        <v>2027</v>
      </c>
      <c r="B102" s="71">
        <f>'Summary Data'!Q8</f>
        <v>1.4329042999731518</v>
      </c>
      <c r="C102" s="71">
        <f>'Summary Data'!Q36</f>
        <v>1.4329042999731518</v>
      </c>
      <c r="D102" s="71">
        <f>'Summary Data'!Q65</f>
        <v>1.4329042999731518</v>
      </c>
      <c r="E102" s="71">
        <f>'Summary Data'!Q95</f>
        <v>1.4329042999731518</v>
      </c>
      <c r="F102" s="71">
        <f>'Summary Data'!Q122</f>
        <v>1.4329042999731518</v>
      </c>
      <c r="G102" s="124">
        <f>'Summary Data'!Q149</f>
        <v>1.4329042999731518</v>
      </c>
      <c r="H102" s="71">
        <f>'Summary Data'!Q176</f>
        <v>1.4329042999731518</v>
      </c>
      <c r="I102" s="71">
        <f>'Summary Data'!Q203</f>
        <v>1.4899158901881437</v>
      </c>
      <c r="J102" s="71">
        <f>'Summary Data'!Q230</f>
        <v>1.4329042999731518</v>
      </c>
      <c r="K102" s="71">
        <f>'Summary Data'!Q257</f>
        <v>1.4329042999731518</v>
      </c>
      <c r="L102" s="71">
        <f>'Summary Data'!Q284</f>
        <v>1.4329042999731518</v>
      </c>
      <c r="M102" s="71">
        <f>'Summary Data'!Q311</f>
        <v>1.4329042999731518</v>
      </c>
      <c r="N102" s="71">
        <f>'Summary Data'!Q338</f>
        <v>1.4329042999731518</v>
      </c>
      <c r="O102" s="71">
        <f>'Summary Data'!Q365</f>
        <v>1.4329042999731518</v>
      </c>
      <c r="P102" s="71">
        <f>'Summary Data'!Q392</f>
        <v>1.4329042999731518</v>
      </c>
      <c r="Q102" s="71">
        <f>'Summary Data'!Q419</f>
        <v>1.4329042999731518</v>
      </c>
      <c r="R102" s="71">
        <f>'Summary Data'!Q446</f>
        <v>1.4329042999731518</v>
      </c>
      <c r="S102" s="71"/>
    </row>
    <row r="103" spans="1:19" x14ac:dyDescent="0.2">
      <c r="A103" s="2">
        <v>2028</v>
      </c>
      <c r="B103" s="71">
        <f>'Summary Data'!Q9</f>
        <v>1.4184150619134281</v>
      </c>
      <c r="C103" s="71">
        <f>'Summary Data'!Q37</f>
        <v>1.4184150619134281</v>
      </c>
      <c r="D103" s="71">
        <f>'Summary Data'!Q66</f>
        <v>1.4184150619134281</v>
      </c>
      <c r="E103" s="71">
        <f>'Summary Data'!Q96</f>
        <v>1.4184150619134281</v>
      </c>
      <c r="F103" s="71">
        <f>'Summary Data'!Q123</f>
        <v>1.4184150619134281</v>
      </c>
      <c r="G103" s="124">
        <f>'Summary Data'!Q150</f>
        <v>1.4184150619134281</v>
      </c>
      <c r="H103" s="71">
        <f>'Summary Data'!Q177</f>
        <v>1.4184150619134281</v>
      </c>
      <c r="I103" s="71">
        <f>'Summary Data'!Q204</f>
        <v>1.4801669620675342</v>
      </c>
      <c r="J103" s="71">
        <f>'Summary Data'!Q231</f>
        <v>1.4184150619134281</v>
      </c>
      <c r="K103" s="71">
        <f>'Summary Data'!Q258</f>
        <v>1.4184150619134281</v>
      </c>
      <c r="L103" s="71">
        <f>'Summary Data'!Q285</f>
        <v>1.4184150619134281</v>
      </c>
      <c r="M103" s="71">
        <f>'Summary Data'!Q312</f>
        <v>1.4184150619134281</v>
      </c>
      <c r="N103" s="71">
        <f>'Summary Data'!Q339</f>
        <v>1.4184150619134281</v>
      </c>
      <c r="O103" s="71">
        <f>'Summary Data'!Q366</f>
        <v>1.4184150619134281</v>
      </c>
      <c r="P103" s="71">
        <f>'Summary Data'!Q393</f>
        <v>1.4184150619134281</v>
      </c>
      <c r="Q103" s="71">
        <f>'Summary Data'!Q420</f>
        <v>1.4184150619134281</v>
      </c>
      <c r="R103" s="71">
        <f>'Summary Data'!Q447</f>
        <v>1.4184150619134281</v>
      </c>
      <c r="S103" s="71"/>
    </row>
    <row r="104" spans="1:19" x14ac:dyDescent="0.2">
      <c r="A104" s="2">
        <v>2029</v>
      </c>
      <c r="B104" s="71">
        <f>'Summary Data'!Q10</f>
        <v>1.3845054987276737</v>
      </c>
      <c r="C104" s="71">
        <f>'Summary Data'!Q38</f>
        <v>1.3845054987276737</v>
      </c>
      <c r="D104" s="71">
        <f>'Summary Data'!Q67</f>
        <v>1.3845054987276737</v>
      </c>
      <c r="E104" s="71">
        <f>'Summary Data'!Q97</f>
        <v>1.3845054987276737</v>
      </c>
      <c r="F104" s="71">
        <f>'Summary Data'!Q124</f>
        <v>1.3845054987276737</v>
      </c>
      <c r="G104" s="124">
        <f>'Summary Data'!Q151</f>
        <v>1.3845054987276737</v>
      </c>
      <c r="H104" s="71">
        <f>'Summary Data'!Q178</f>
        <v>1.3845054987276737</v>
      </c>
      <c r="I104" s="71">
        <f>'Summary Data'!Q205</f>
        <v>1.4453173670022328</v>
      </c>
      <c r="J104" s="71">
        <f>'Summary Data'!Q232</f>
        <v>1.3845054987276737</v>
      </c>
      <c r="K104" s="71">
        <f>'Summary Data'!Q259</f>
        <v>1.3845054987276737</v>
      </c>
      <c r="L104" s="71">
        <f>'Summary Data'!Q286</f>
        <v>1.3845054987276737</v>
      </c>
      <c r="M104" s="71">
        <f>'Summary Data'!Q313</f>
        <v>1.3845054987276737</v>
      </c>
      <c r="N104" s="71">
        <f>'Summary Data'!Q340</f>
        <v>1.3845054987276737</v>
      </c>
      <c r="O104" s="71">
        <f>'Summary Data'!Q367</f>
        <v>1.3845054987276737</v>
      </c>
      <c r="P104" s="71">
        <f>'Summary Data'!Q394</f>
        <v>1.3845054987276737</v>
      </c>
      <c r="Q104" s="71">
        <f>'Summary Data'!Q421</f>
        <v>1.3845054987276737</v>
      </c>
      <c r="R104" s="71">
        <f>'Summary Data'!Q448</f>
        <v>1.3845054987276737</v>
      </c>
      <c r="S104" s="71"/>
    </row>
    <row r="105" spans="1:19" x14ac:dyDescent="0.2">
      <c r="A105" s="2">
        <v>2030</v>
      </c>
      <c r="B105" s="71">
        <f>'Summary Data'!Q11</f>
        <v>1.4482233725931652</v>
      </c>
      <c r="C105" s="71">
        <f>'Summary Data'!Q39</f>
        <v>1.4482233725931652</v>
      </c>
      <c r="D105" s="71">
        <f>'Summary Data'!Q68</f>
        <v>1.4482233725931652</v>
      </c>
      <c r="E105" s="71">
        <f>'Summary Data'!Q98</f>
        <v>1.4482233725931652</v>
      </c>
      <c r="F105" s="71">
        <f>'Summary Data'!Q125</f>
        <v>1.4482233725931652</v>
      </c>
      <c r="G105" s="124">
        <f>'Summary Data'!Q152</f>
        <v>1.4482233725931652</v>
      </c>
      <c r="H105" s="71">
        <f>'Summary Data'!Q179</f>
        <v>1.4482233725931652</v>
      </c>
      <c r="I105" s="71">
        <f>'Summary Data'!Q206</f>
        <v>1.5124811237804734</v>
      </c>
      <c r="J105" s="71">
        <f>'Summary Data'!Q233</f>
        <v>1.4482233725931652</v>
      </c>
      <c r="K105" s="71">
        <f>'Summary Data'!Q260</f>
        <v>1.4482233725931652</v>
      </c>
      <c r="L105" s="71">
        <f>'Summary Data'!Q287</f>
        <v>1.4482233725931652</v>
      </c>
      <c r="M105" s="71">
        <f>'Summary Data'!Q314</f>
        <v>1.4482233725931652</v>
      </c>
      <c r="N105" s="71">
        <f>'Summary Data'!Q341</f>
        <v>1.4482233725931652</v>
      </c>
      <c r="O105" s="71">
        <f>'Summary Data'!Q368</f>
        <v>1.4482233725931652</v>
      </c>
      <c r="P105" s="71">
        <f>'Summary Data'!Q395</f>
        <v>1.4482233725931652</v>
      </c>
      <c r="Q105" s="71">
        <f>'Summary Data'!Q422</f>
        <v>1.4482233725931652</v>
      </c>
      <c r="R105" s="71">
        <f>'Summary Data'!Q449</f>
        <v>1.4482233725931652</v>
      </c>
      <c r="S105" s="71"/>
    </row>
    <row r="106" spans="1:19" x14ac:dyDescent="0.2">
      <c r="A106" s="2">
        <v>2031</v>
      </c>
      <c r="B106" s="71">
        <f>'Summary Data'!Q12</f>
        <v>1.3178533229172604</v>
      </c>
      <c r="C106" s="71">
        <f>'Summary Data'!Q40</f>
        <v>1.3178533229172604</v>
      </c>
      <c r="D106" s="71">
        <f>'Summary Data'!Q69</f>
        <v>1.3178533229172604</v>
      </c>
      <c r="E106" s="71">
        <f>'Summary Data'!Q99</f>
        <v>1.3178533229172604</v>
      </c>
      <c r="F106" s="71">
        <f>'Summary Data'!Q126</f>
        <v>1.3178533229172604</v>
      </c>
      <c r="G106" s="124">
        <f>'Summary Data'!Q153</f>
        <v>1.3178533229172604</v>
      </c>
      <c r="H106" s="71">
        <f>'Summary Data'!Q180</f>
        <v>1.3178533229172604</v>
      </c>
      <c r="I106" s="71">
        <f>'Summary Data'!Q207</f>
        <v>1.3735238643717611</v>
      </c>
      <c r="J106" s="71">
        <f>'Summary Data'!Q234</f>
        <v>1.3178533229172604</v>
      </c>
      <c r="K106" s="71">
        <f>'Summary Data'!Q261</f>
        <v>1.3178533229172604</v>
      </c>
      <c r="L106" s="71">
        <f>'Summary Data'!Q288</f>
        <v>1.3178533229172604</v>
      </c>
      <c r="M106" s="71">
        <f>'Summary Data'!Q315</f>
        <v>1.3178533229172604</v>
      </c>
      <c r="N106" s="71">
        <f>'Summary Data'!Q342</f>
        <v>1.3178533229172604</v>
      </c>
      <c r="O106" s="71">
        <f>'Summary Data'!Q369</f>
        <v>1.3178533229172604</v>
      </c>
      <c r="P106" s="71">
        <f>'Summary Data'!Q396</f>
        <v>1.3178533229172604</v>
      </c>
      <c r="Q106" s="71">
        <f>'Summary Data'!Q423</f>
        <v>1.3178533229172604</v>
      </c>
      <c r="R106" s="71">
        <f>'Summary Data'!Q450</f>
        <v>1.3178533229172604</v>
      </c>
      <c r="S106" s="71"/>
    </row>
    <row r="107" spans="1:19" x14ac:dyDescent="0.2">
      <c r="A107" s="2">
        <v>2032</v>
      </c>
      <c r="B107" s="71">
        <f>'Summary Data'!Q13</f>
        <v>1.2400831169937785</v>
      </c>
      <c r="C107" s="71">
        <f>'Summary Data'!Q41</f>
        <v>1.2400831169937785</v>
      </c>
      <c r="D107" s="71">
        <f>'Summary Data'!Q70</f>
        <v>1.2400831169937785</v>
      </c>
      <c r="E107" s="71">
        <f>'Summary Data'!Q100</f>
        <v>1.2400831169937785</v>
      </c>
      <c r="F107" s="71">
        <f>'Summary Data'!Q127</f>
        <v>1.2400831169937785</v>
      </c>
      <c r="G107" s="124">
        <f>'Summary Data'!Q154</f>
        <v>1.2400831169937785</v>
      </c>
      <c r="H107" s="71">
        <f>'Summary Data'!Q181</f>
        <v>1.2400831169937785</v>
      </c>
      <c r="I107" s="71">
        <f>'Summary Data'!Q208</f>
        <v>1.2914072013467499</v>
      </c>
      <c r="J107" s="71">
        <f>'Summary Data'!Q235</f>
        <v>1.2400831169937785</v>
      </c>
      <c r="K107" s="71">
        <f>'Summary Data'!Q262</f>
        <v>1.2400831169937785</v>
      </c>
      <c r="L107" s="71">
        <f>'Summary Data'!Q289</f>
        <v>1.2400831169937785</v>
      </c>
      <c r="M107" s="71">
        <f>'Summary Data'!Q316</f>
        <v>1.2400831169937785</v>
      </c>
      <c r="N107" s="71">
        <f>'Summary Data'!Q343</f>
        <v>1.2400831169937785</v>
      </c>
      <c r="O107" s="71">
        <f>'Summary Data'!Q370</f>
        <v>1.2400831169937785</v>
      </c>
      <c r="P107" s="71">
        <f>'Summary Data'!Q397</f>
        <v>1.2400831169937785</v>
      </c>
      <c r="Q107" s="71">
        <f>'Summary Data'!Q424</f>
        <v>1.2400831169937785</v>
      </c>
      <c r="R107" s="71">
        <f>'Summary Data'!Q451</f>
        <v>1.2400831169937785</v>
      </c>
      <c r="S107" s="71"/>
    </row>
    <row r="108" spans="1:19" x14ac:dyDescent="0.2">
      <c r="A108" s="2">
        <v>2033</v>
      </c>
      <c r="B108" s="71">
        <f>'Summary Data'!Q14</f>
        <v>1.2104176768359198</v>
      </c>
      <c r="C108" s="71">
        <f>'Summary Data'!Q42</f>
        <v>1.2104176768359198</v>
      </c>
      <c r="D108" s="71">
        <f>'Summary Data'!Q71</f>
        <v>1.2104176768359198</v>
      </c>
      <c r="E108" s="71">
        <f>'Summary Data'!Q101</f>
        <v>1.2104176768359198</v>
      </c>
      <c r="F108" s="71">
        <f>'Summary Data'!Q128</f>
        <v>1.2104176768359198</v>
      </c>
      <c r="G108" s="124">
        <f>'Summary Data'!Q155</f>
        <v>1.2104176768359198</v>
      </c>
      <c r="H108" s="71">
        <f>'Summary Data'!Q182</f>
        <v>1.2104176768359198</v>
      </c>
      <c r="I108" s="71">
        <f>'Summary Data'!Q209</f>
        <v>1.261951068233691</v>
      </c>
      <c r="J108" s="71">
        <f>'Summary Data'!Q236</f>
        <v>1.2104176768359198</v>
      </c>
      <c r="K108" s="71">
        <f>'Summary Data'!Q263</f>
        <v>1.2150390521601691</v>
      </c>
      <c r="L108" s="71">
        <f>'Summary Data'!Q290</f>
        <v>1.2104176768359198</v>
      </c>
      <c r="M108" s="71">
        <f>'Summary Data'!Q317</f>
        <v>1.2104176768359198</v>
      </c>
      <c r="N108" s="71">
        <f>'Summary Data'!Q344</f>
        <v>1.2104176768359198</v>
      </c>
      <c r="O108" s="71">
        <f>'Summary Data'!Q371</f>
        <v>1.2104176768359198</v>
      </c>
      <c r="P108" s="71">
        <f>'Summary Data'!Q398</f>
        <v>1.2104176768359198</v>
      </c>
      <c r="Q108" s="71">
        <f>'Summary Data'!Q425</f>
        <v>1.2104176768359198</v>
      </c>
      <c r="R108" s="71">
        <f>'Summary Data'!Q452</f>
        <v>1.2104176768359198</v>
      </c>
      <c r="S108" s="71"/>
    </row>
    <row r="109" spans="1:19" x14ac:dyDescent="0.2">
      <c r="A109" s="2">
        <v>2034</v>
      </c>
      <c r="B109" s="71">
        <f>'Summary Data'!Q15</f>
        <v>1.2890245903431194</v>
      </c>
      <c r="C109" s="71">
        <f>'Summary Data'!Q43</f>
        <v>1.2891437644937354</v>
      </c>
      <c r="D109" s="71">
        <f>'Summary Data'!Q72</f>
        <v>1.1830499255774227</v>
      </c>
      <c r="E109" s="71">
        <f>'Summary Data'!Q102</f>
        <v>1.1830499255774227</v>
      </c>
      <c r="F109" s="71">
        <f>'Summary Data'!Q129</f>
        <v>1.1830499255774227</v>
      </c>
      <c r="G109" s="124">
        <f>'Summary Data'!Q156</f>
        <v>1.1830499255774227</v>
      </c>
      <c r="H109" s="71">
        <f>'Summary Data'!Q183</f>
        <v>1.1830499255774227</v>
      </c>
      <c r="I109" s="71">
        <f>'Summary Data'!Q210</f>
        <v>1.2350208888151748</v>
      </c>
      <c r="J109" s="71">
        <f>'Summary Data'!Q237</f>
        <v>1.1830499255774227</v>
      </c>
      <c r="K109" s="71">
        <f>'Summary Data'!Q264</f>
        <v>1.3024259436181438</v>
      </c>
      <c r="L109" s="71">
        <f>'Summary Data'!Q291</f>
        <v>1.2995726290912375</v>
      </c>
      <c r="M109" s="71">
        <f>'Summary Data'!Q318</f>
        <v>1.2890474772036156</v>
      </c>
      <c r="N109" s="71">
        <f>'Summary Data'!Q345</f>
        <v>1.1830499255774227</v>
      </c>
      <c r="O109" s="71">
        <f>'Summary Data'!Q372</f>
        <v>1.2919868723929047</v>
      </c>
      <c r="P109" s="71">
        <f>'Summary Data'!Q399</f>
        <v>1.1830499255774227</v>
      </c>
      <c r="Q109" s="71">
        <f>'Summary Data'!Q426</f>
        <v>1.1830499255774227</v>
      </c>
      <c r="R109" s="71">
        <f>'Summary Data'!Q453</f>
        <v>1.2890245903431199</v>
      </c>
      <c r="S109" s="71"/>
    </row>
    <row r="110" spans="1:19" x14ac:dyDescent="0.2">
      <c r="A110" s="2">
        <v>2035</v>
      </c>
      <c r="B110" s="71">
        <f>'Summary Data'!Q16</f>
        <v>1.2947800387277948</v>
      </c>
      <c r="C110" s="71">
        <f>'Summary Data'!Q44</f>
        <v>1.2949037902285767</v>
      </c>
      <c r="D110" s="71">
        <f>'Summary Data'!Q73</f>
        <v>1.1896231585258008</v>
      </c>
      <c r="E110" s="71">
        <f>'Summary Data'!Q103</f>
        <v>1.184735001764377</v>
      </c>
      <c r="F110" s="71">
        <f>'Summary Data'!Q130</f>
        <v>1.184735001764377</v>
      </c>
      <c r="G110" s="124">
        <f>'Summary Data'!Q157</f>
        <v>1.2947800387277948</v>
      </c>
      <c r="H110" s="71">
        <f>'Summary Data'!Q184</f>
        <v>1.184735001764377</v>
      </c>
      <c r="I110" s="71">
        <f>'Summary Data'!Q211</f>
        <v>1.2379599015532889</v>
      </c>
      <c r="J110" s="71">
        <f>'Summary Data'!Q238</f>
        <v>1.184735001764377</v>
      </c>
      <c r="K110" s="71">
        <f>'Summary Data'!Q265</f>
        <v>1.3087549775910614</v>
      </c>
      <c r="L110" s="71">
        <f>'Summary Data'!Q292</f>
        <v>1.3057332162301212</v>
      </c>
      <c r="M110" s="71">
        <f>'Summary Data'!Q319</f>
        <v>1.2948038046478365</v>
      </c>
      <c r="N110" s="71">
        <f>'Summary Data'!Q346</f>
        <v>1.184735001764377</v>
      </c>
      <c r="O110" s="71">
        <f>'Summary Data'!Q373</f>
        <v>1.3027442555870297</v>
      </c>
      <c r="P110" s="71">
        <f>'Summary Data'!Q400</f>
        <v>1.184735001764377</v>
      </c>
      <c r="Q110" s="71">
        <f>'Summary Data'!Q427</f>
        <v>1.184735001764377</v>
      </c>
      <c r="R110" s="71">
        <f>'Summary Data'!Q454</f>
        <v>1.2996681954892191</v>
      </c>
      <c r="S110" s="71"/>
    </row>
    <row r="111" spans="1:19" x14ac:dyDescent="0.2">
      <c r="A111" s="2">
        <v>2036</v>
      </c>
      <c r="B111" s="71">
        <f>'Summary Data'!Q17</f>
        <v>1.2733590404643409</v>
      </c>
      <c r="C111" s="71">
        <f>'Summary Data'!Q45</f>
        <v>1.2734829131440342</v>
      </c>
      <c r="D111" s="71">
        <f>'Summary Data'!Q74</f>
        <v>1.3073957565809953</v>
      </c>
      <c r="E111" s="71">
        <f>'Summary Data'!Q104</f>
        <v>1.1632062461186194</v>
      </c>
      <c r="F111" s="71">
        <f>'Summary Data'!Q131</f>
        <v>1.1632062461186194</v>
      </c>
      <c r="G111" s="124">
        <f>'Summary Data'!Q158</f>
        <v>1.2819257524074588</v>
      </c>
      <c r="H111" s="71">
        <f>'Summary Data'!Q185</f>
        <v>1.1717729580617373</v>
      </c>
      <c r="I111" s="71">
        <f>'Summary Data'!Q212</f>
        <v>1.3268853438846033</v>
      </c>
      <c r="J111" s="71">
        <f>'Summary Data'!Q239</f>
        <v>1.1680797959953411</v>
      </c>
      <c r="K111" s="71">
        <f>'Summary Data'!Q266</f>
        <v>1.2873282703258075</v>
      </c>
      <c r="L111" s="71">
        <f>'Summary Data'!Q293</f>
        <v>1.2843229434456904</v>
      </c>
      <c r="M111" s="71">
        <f>'Summary Data'!Q320</f>
        <v>1.2733828296562484</v>
      </c>
      <c r="N111" s="71">
        <f>'Summary Data'!Q347</f>
        <v>1.2733590404643409</v>
      </c>
      <c r="O111" s="71">
        <f>'Summary Data'!Q374</f>
        <v>1.2813116625527601</v>
      </c>
      <c r="P111" s="71">
        <f>'Summary Data'!Q401</f>
        <v>1.1632062461186194</v>
      </c>
      <c r="Q111" s="71">
        <f>'Summary Data'!Q428</f>
        <v>1.1632062461186194</v>
      </c>
      <c r="R111" s="71">
        <f>'Summary Data'!Q455</f>
        <v>1.2782325903410632</v>
      </c>
      <c r="S111" s="71"/>
    </row>
    <row r="112" spans="1:19" x14ac:dyDescent="0.2">
      <c r="A112" s="2">
        <v>2037</v>
      </c>
      <c r="B112" s="71">
        <f>'Summary Data'!Q18</f>
        <v>1.242084117458542</v>
      </c>
      <c r="C112" s="71">
        <f>'Summary Data'!Q46</f>
        <v>1.2422069645801257</v>
      </c>
      <c r="D112" s="71">
        <f>'Summary Data'!Q75</f>
        <v>1.2759176185157979</v>
      </c>
      <c r="E112" s="71">
        <f>'Summary Data'!Q105</f>
        <v>1.1328432924979432</v>
      </c>
      <c r="F112" s="71">
        <f>'Summary Data'!Q132</f>
        <v>1.1328432924979432</v>
      </c>
      <c r="G112" s="124">
        <f>'Summary Data'!Q159</f>
        <v>1.2508104403731741</v>
      </c>
      <c r="H112" s="71">
        <f>'Summary Data'!Q186</f>
        <v>1.1415696154125754</v>
      </c>
      <c r="I112" s="71">
        <f>'Summary Data'!Q213</f>
        <v>1.2947196247368808</v>
      </c>
      <c r="J112" s="71">
        <f>'Summary Data'!Q240</f>
        <v>1.1377550729811892</v>
      </c>
      <c r="K112" s="71">
        <f>'Summary Data'!Q267</f>
        <v>1.2560162736028229</v>
      </c>
      <c r="L112" s="71">
        <f>'Summary Data'!Q294</f>
        <v>1.2529572488537521</v>
      </c>
      <c r="M112" s="71">
        <f>'Summary Data'!Q321</f>
        <v>1.2421077096966198</v>
      </c>
      <c r="N112" s="71">
        <f>'Summary Data'!Q348</f>
        <v>1.242084117458542</v>
      </c>
      <c r="O112" s="71">
        <f>'Summary Data'!Q375</f>
        <v>1.2500494781121048</v>
      </c>
      <c r="P112" s="71">
        <f>'Summary Data'!Q402</f>
        <v>1.1328432924979432</v>
      </c>
      <c r="Q112" s="71">
        <f>'Summary Data'!Q429</f>
        <v>1.1328432924979432</v>
      </c>
      <c r="R112" s="71">
        <f>'Summary Data'!Q456</f>
        <v>1.2469958979417883</v>
      </c>
      <c r="S112" s="71"/>
    </row>
    <row r="113" spans="1:19" x14ac:dyDescent="0.2">
      <c r="A113" s="2">
        <v>2038</v>
      </c>
      <c r="B113" s="71">
        <f>'Summary Data'!Q19</f>
        <v>1.1923385161735403</v>
      </c>
      <c r="C113" s="71">
        <f>'Summary Data'!Q47</f>
        <v>1.1924604673788437</v>
      </c>
      <c r="D113" s="71">
        <f>'Summary Data'!Q76</f>
        <v>1.3348615636393997</v>
      </c>
      <c r="E113" s="71">
        <f>'Summary Data'!Q106</f>
        <v>1.0838943776333174</v>
      </c>
      <c r="F113" s="71">
        <f>'Summary Data'!Q133</f>
        <v>1.0838943776333174</v>
      </c>
      <c r="G113" s="124">
        <f>'Summary Data'!Q160</f>
        <v>1.2011049692013929</v>
      </c>
      <c r="H113" s="71">
        <f>'Summary Data'!Q187</f>
        <v>1.0926608306611698</v>
      </c>
      <c r="I113" s="71">
        <f>'Summary Data'!Q214</f>
        <v>1.2439157276502826</v>
      </c>
      <c r="J113" s="71">
        <f>'Summary Data'!Q241</f>
        <v>1.0888247373953821</v>
      </c>
      <c r="K113" s="71">
        <f>'Summary Data'!Q268</f>
        <v>1.2062234665680263</v>
      </c>
      <c r="L113" s="71">
        <f>'Summary Data'!Q295</f>
        <v>1.2031323505098657</v>
      </c>
      <c r="M113" s="71">
        <f>'Summary Data'!Q322</f>
        <v>1.1923619363549194</v>
      </c>
      <c r="N113" s="71">
        <f>'Summary Data'!Q349</f>
        <v>1.1923385161735403</v>
      </c>
      <c r="O113" s="71">
        <f>'Summary Data'!Q376</f>
        <v>1.2003001865390626</v>
      </c>
      <c r="P113" s="71">
        <f>'Summary Data'!Q403</f>
        <v>1.0838943776333174</v>
      </c>
      <c r="Q113" s="71">
        <f>'Summary Data'!Q430</f>
        <v>1.0838943776333174</v>
      </c>
      <c r="R113" s="71">
        <f>'Summary Data'!Q457</f>
        <v>1.1972688759356056</v>
      </c>
      <c r="S113" s="71"/>
    </row>
    <row r="114" spans="1:19" x14ac:dyDescent="0.2">
      <c r="A114" s="2">
        <v>2039</v>
      </c>
      <c r="B114" s="71">
        <f>'Summary Data'!Q20</f>
        <v>1.1781447849272475</v>
      </c>
      <c r="C114" s="71">
        <f>'Summary Data'!Q48</f>
        <v>1.178267095457106</v>
      </c>
      <c r="D114" s="71">
        <f>'Summary Data'!Q77</f>
        <v>1.3211567597516327</v>
      </c>
      <c r="E114" s="71">
        <f>'Summary Data'!Q107</f>
        <v>1.0693811198868441</v>
      </c>
      <c r="F114" s="71">
        <f>'Summary Data'!Q134</f>
        <v>1.0693811198868441</v>
      </c>
      <c r="G114" s="124">
        <f>'Summary Data'!Q161</f>
        <v>1.1871182349793816</v>
      </c>
      <c r="H114" s="71">
        <f>'Summary Data'!Q188</f>
        <v>1.0783545699389783</v>
      </c>
      <c r="I114" s="71">
        <f>'Summary Data'!Q215</f>
        <v>1.2297179754209819</v>
      </c>
      <c r="J114" s="71">
        <f>'Summary Data'!Q242</f>
        <v>1.0743949954236993</v>
      </c>
      <c r="K114" s="71">
        <f>'Summary Data'!Q269</f>
        <v>1.1921396354548104</v>
      </c>
      <c r="L114" s="71">
        <f>'Summary Data'!Q296</f>
        <v>1.1889704228829796</v>
      </c>
      <c r="M114" s="71">
        <f>'Summary Data'!Q323</f>
        <v>1.1781682741152939</v>
      </c>
      <c r="N114" s="71">
        <f>'Summary Data'!Q350</f>
        <v>1.1781447849272475</v>
      </c>
      <c r="O114" s="71">
        <f>'Summary Data'!Q377</f>
        <v>1.1861989027081368</v>
      </c>
      <c r="P114" s="71">
        <f>'Summary Data'!Q404</f>
        <v>1.0693811198868441</v>
      </c>
      <c r="Q114" s="71">
        <f>'Summary Data'!Q431</f>
        <v>1.0693811198868441</v>
      </c>
      <c r="R114" s="71">
        <f>'Summary Data'!Q458</f>
        <v>1.1831586604641031</v>
      </c>
      <c r="S114" s="71"/>
    </row>
    <row r="115" spans="1:19" x14ac:dyDescent="0.2">
      <c r="A115" s="2">
        <v>2040</v>
      </c>
      <c r="B115" s="71">
        <f>'Summary Data'!Q21</f>
        <v>1.1629876156427053</v>
      </c>
      <c r="C115" s="71">
        <f>'Summary Data'!Q49</f>
        <v>1.1631125106027302</v>
      </c>
      <c r="D115" s="71">
        <f>'Summary Data'!Q78</f>
        <v>1.420261838738416</v>
      </c>
      <c r="E115" s="71">
        <f>'Summary Data'!Q108</f>
        <v>1.051925766649793</v>
      </c>
      <c r="F115" s="71">
        <f>'Summary Data'!Q135</f>
        <v>1.051925766649793</v>
      </c>
      <c r="G115" s="124">
        <f>'Summary Data'!Q162</f>
        <v>1.1726772544458059</v>
      </c>
      <c r="H115" s="71">
        <f>'Summary Data'!Q189</f>
        <v>1.0616154054528937</v>
      </c>
      <c r="I115" s="71">
        <f>'Summary Data'!Q216</f>
        <v>1.2145389428389162</v>
      </c>
      <c r="J115" s="71">
        <f>'Summary Data'!Q243</f>
        <v>1.057224131844495</v>
      </c>
      <c r="K115" s="71">
        <f>'Summary Data'!Q270</f>
        <v>1.1774567244663261</v>
      </c>
      <c r="L115" s="71">
        <f>'Summary Data'!Q297</f>
        <v>1.1740420000958665</v>
      </c>
      <c r="M115" s="71">
        <f>'Summary Data'!Q324</f>
        <v>1.1630116011589602</v>
      </c>
      <c r="N115" s="71">
        <f>'Summary Data'!Q351</f>
        <v>1.1629876156427053</v>
      </c>
      <c r="O115" s="71">
        <f>'Summary Data'!Q378</f>
        <v>1.1713904636155794</v>
      </c>
      <c r="P115" s="71">
        <f>'Summary Data'!Q405</f>
        <v>1.051925766649793</v>
      </c>
      <c r="Q115" s="71">
        <f>'Summary Data'!Q432</f>
        <v>1.051925766649793</v>
      </c>
      <c r="R115" s="71">
        <f>'Summary Data'!Q459</f>
        <v>1.168285980837408</v>
      </c>
      <c r="S115" s="71"/>
    </row>
    <row r="116" spans="1:19" x14ac:dyDescent="0.2">
      <c r="A116" s="2">
        <v>2041</v>
      </c>
      <c r="B116" s="71">
        <f>'Summary Data'!Q22</f>
        <v>1.1720393179900248</v>
      </c>
      <c r="C116" s="71">
        <f>'Summary Data'!Q50</f>
        <v>1.1207421236641211</v>
      </c>
      <c r="D116" s="71">
        <f>'Summary Data'!Q79</f>
        <v>1.3778356375488281</v>
      </c>
      <c r="E116" s="71">
        <f>'Summary Data'!Q109</f>
        <v>1.0095941009765625</v>
      </c>
      <c r="F116" s="71">
        <f>'Summary Data'!Q136</f>
        <v>1.0095941009765625</v>
      </c>
      <c r="G116" s="124">
        <f>'Summary Data'!Q163</f>
        <v>1.1303651712278311</v>
      </c>
      <c r="H116" s="71">
        <f>'Summary Data'!Q190</f>
        <v>1.1303651712278311</v>
      </c>
      <c r="I116" s="71">
        <f>'Summary Data'!Q217</f>
        <v>1.1720393179900248</v>
      </c>
      <c r="J116" s="71">
        <f>'Summary Data'!Q244</f>
        <v>1.1259475313322012</v>
      </c>
      <c r="K116" s="71">
        <f>'Summary Data'!Q271</f>
        <v>1.246138252432657</v>
      </c>
      <c r="L116" s="71">
        <f>'Summary Data'!Q298</f>
        <v>1.1316678069151815</v>
      </c>
      <c r="M116" s="71">
        <f>'Summary Data'!Q325</f>
        <v>1.1720632951532197</v>
      </c>
      <c r="N116" s="71">
        <f>'Summary Data'!Q352</f>
        <v>1.1206172721993073</v>
      </c>
      <c r="O116" s="71">
        <f>'Summary Data'!Q379</f>
        <v>1.1804729787515107</v>
      </c>
      <c r="P116" s="71">
        <f>'Summary Data'!Q406</f>
        <v>1.0095941009765625</v>
      </c>
      <c r="Q116" s="71">
        <f>'Summary Data'!Q433</f>
        <v>1.0095941009765625</v>
      </c>
      <c r="R116" s="71">
        <f>'Summary Data'!Q460</f>
        <v>1.2369707025549466</v>
      </c>
      <c r="S116" s="71"/>
    </row>
    <row r="117" spans="1:19" x14ac:dyDescent="0.2">
      <c r="A117" s="2">
        <v>2042</v>
      </c>
      <c r="B117" s="71">
        <f>'Summary Data'!Q23</f>
        <v>0.92697309222675539</v>
      </c>
      <c r="C117" s="71">
        <f>'Summary Data'!Q51</f>
        <v>0.89971010559556597</v>
      </c>
      <c r="D117" s="71">
        <f>'Summary Data'!Q80</f>
        <v>1.3826615744711304</v>
      </c>
      <c r="E117" s="71">
        <f>'Summary Data'!Q110</f>
        <v>0.63625085715494789</v>
      </c>
      <c r="F117" s="71">
        <f>'Summary Data'!Q137</f>
        <v>0.63625085715494789</v>
      </c>
      <c r="G117" s="124">
        <f>'Summary Data'!Q164</f>
        <v>0.91038688120517852</v>
      </c>
      <c r="H117" s="71">
        <f>'Summary Data'!Q191</f>
        <v>0.88074855263763052</v>
      </c>
      <c r="I117" s="71">
        <f>'Summary Data'!Q218</f>
        <v>0.94080785624438001</v>
      </c>
      <c r="J117" s="71">
        <f>'Summary Data'!Q245</f>
        <v>0.86649558563447626</v>
      </c>
      <c r="K117" s="71">
        <f>'Summary Data'!Q272</f>
        <v>0.99229777736425373</v>
      </c>
      <c r="L117" s="71">
        <f>'Summary Data'!Q299</f>
        <v>0.9438831944006072</v>
      </c>
      <c r="M117" s="71">
        <f>'Summary Data'!Q326</f>
        <v>0.96301569221905692</v>
      </c>
      <c r="N117" s="71">
        <f>'Summary Data'!Q353</f>
        <v>0.91664884084581355</v>
      </c>
      <c r="O117" s="71">
        <f>'Summary Data'!Q380</f>
        <v>0.98784104111272453</v>
      </c>
      <c r="P117" s="71">
        <f>'Summary Data'!Q407</f>
        <v>0.63625085715494789</v>
      </c>
      <c r="Q117" s="71">
        <f>'Summary Data'!Q434</f>
        <v>0.77608248486169651</v>
      </c>
      <c r="R117" s="71">
        <f>'Summary Data'!Q461</f>
        <v>0.97887707699775528</v>
      </c>
      <c r="S117" s="71"/>
    </row>
    <row r="118" spans="1:19" x14ac:dyDescent="0.2">
      <c r="A118" s="2">
        <v>2043</v>
      </c>
      <c r="B118" s="71">
        <f>'Summary Data'!Q24</f>
        <v>0.9315890626978065</v>
      </c>
      <c r="C118" s="71">
        <f>'Summary Data'!Q52</f>
        <v>0.90413945462298495</v>
      </c>
      <c r="D118" s="71">
        <f>'Summary Data'!Q81</f>
        <v>1.3942089653785197</v>
      </c>
      <c r="E118" s="71">
        <f>'Summary Data'!Q111</f>
        <v>0.63683496030598963</v>
      </c>
      <c r="F118" s="71">
        <f>'Summary Data'!Q138</f>
        <v>0.63683496030598963</v>
      </c>
      <c r="G118" s="124">
        <f>'Summary Data'!Q165</f>
        <v>0.91511980607495724</v>
      </c>
      <c r="H118" s="71">
        <f>'Summary Data'!Q192</f>
        <v>0.88504889956079458</v>
      </c>
      <c r="I118" s="71">
        <f>'Summary Data'!Q219</f>
        <v>0.9456257481495971</v>
      </c>
      <c r="J118" s="71">
        <f>'Summary Data'!Q246</f>
        <v>0.87050942001709752</v>
      </c>
      <c r="K118" s="71">
        <f>'Summary Data'!Q273</f>
        <v>0.99814772249968164</v>
      </c>
      <c r="L118" s="71">
        <f>'Summary Data'!Q300</f>
        <v>0.94895725940812481</v>
      </c>
      <c r="M118" s="71">
        <f>'Summary Data'!Q327</f>
        <v>0.96815771239158788</v>
      </c>
      <c r="N118" s="71">
        <f>'Summary Data'!Q354</f>
        <v>0.9213254144525842</v>
      </c>
      <c r="O118" s="71">
        <f>'Summary Data'!Q381</f>
        <v>0.99341465133577689</v>
      </c>
      <c r="P118" s="71">
        <f>'Summary Data'!Q408</f>
        <v>0.63683496030598963</v>
      </c>
      <c r="Q118" s="71">
        <f>'Summary Data'!Q435</f>
        <v>0.77870746147992143</v>
      </c>
      <c r="R118" s="71">
        <f>'Summary Data'!Q462</f>
        <v>0.98453114404938913</v>
      </c>
      <c r="S118" s="71"/>
    </row>
    <row r="119" spans="1:19" x14ac:dyDescent="0.2">
      <c r="A119" s="2">
        <v>2044</v>
      </c>
      <c r="B119" s="71">
        <f>'Summary Data'!Q25</f>
        <v>1.0284276675298369</v>
      </c>
      <c r="C119" s="71">
        <f>'Summary Data'!Q53</f>
        <v>0.99816631294979297</v>
      </c>
      <c r="D119" s="71">
        <f>'Summary Data'!Q82</f>
        <v>1.5533650917766317</v>
      </c>
      <c r="E119" s="71">
        <f>'Summary Data'!Q112</f>
        <v>0.69541616561848962</v>
      </c>
      <c r="F119" s="71">
        <f>'Summary Data'!Q139</f>
        <v>0.69541616561848962</v>
      </c>
      <c r="G119" s="124">
        <f>'Summary Data'!Q166</f>
        <v>1.011004596298182</v>
      </c>
      <c r="H119" s="71">
        <f>'Summary Data'!Q193</f>
        <v>0.97694616641352672</v>
      </c>
      <c r="I119" s="71">
        <f>'Summary Data'!Q220</f>
        <v>1.0443256740314903</v>
      </c>
      <c r="J119" s="71">
        <f>'Summary Data'!Q247</f>
        <v>0.96022087652268528</v>
      </c>
      <c r="K119" s="71">
        <f>'Summary Data'!Q274</f>
        <v>1.1047845322160077</v>
      </c>
      <c r="L119" s="71">
        <f>'Summary Data'!Q301</f>
        <v>1.0489271392368202</v>
      </c>
      <c r="M119" s="71">
        <f>'Summary Data'!Q328</f>
        <v>1.0698454675215194</v>
      </c>
      <c r="N119" s="71">
        <f>'Summary Data'!Q355</f>
        <v>1.0176312003013344</v>
      </c>
      <c r="O119" s="71">
        <f>'Summary Data'!Q382</f>
        <v>1.0985956546144486</v>
      </c>
      <c r="P119" s="71">
        <f>'Summary Data'!Q409</f>
        <v>0.69541616561848962</v>
      </c>
      <c r="Q119" s="71">
        <f>'Summary Data'!Q436</f>
        <v>0.85610153210444129</v>
      </c>
      <c r="R119" s="71">
        <f>'Summary Data'!Q463</f>
        <v>1.0893623405970163</v>
      </c>
      <c r="S119" s="71"/>
    </row>
    <row r="120" spans="1:19" x14ac:dyDescent="0.2">
      <c r="A120" s="2">
        <v>2045</v>
      </c>
      <c r="B120" s="71">
        <f>'Summary Data'!Q26</f>
        <v>0.56058855046191713</v>
      </c>
      <c r="C120" s="71">
        <f>'Summary Data'!Q54</f>
        <v>0.86516497864165232</v>
      </c>
      <c r="D120" s="71">
        <f>'Summary Data'!Q83</f>
        <v>1.2694291321730551</v>
      </c>
      <c r="E120" s="71">
        <f>'Summary Data'!Q113</f>
        <v>0.44913627874999995</v>
      </c>
      <c r="F120" s="71">
        <f>'Summary Data'!Q140</f>
        <v>0.159892515235</v>
      </c>
      <c r="G120" s="124">
        <f>'Summary Data'!Q167</f>
        <v>0.57662421016115184</v>
      </c>
      <c r="H120" s="71">
        <f>'Summary Data'!Q194</f>
        <v>0.54381120102740121</v>
      </c>
      <c r="I120" s="71">
        <f>'Summary Data'!Q221</f>
        <v>0.57997833399660692</v>
      </c>
      <c r="J120" s="71">
        <f>'Summary Data'!Q248</f>
        <v>0.46777336104638978</v>
      </c>
      <c r="K120" s="71">
        <f>'Summary Data'!Q275</f>
        <v>0.63045428592155606</v>
      </c>
      <c r="L120" s="71">
        <f>'Summary Data'!Q302</f>
        <v>0.55708438269404459</v>
      </c>
      <c r="M120" s="71">
        <f>'Summary Data'!Q329</f>
        <v>0.52096860799196398</v>
      </c>
      <c r="N120" s="71">
        <f>'Summary Data'!Q356</f>
        <v>0.52686626434900963</v>
      </c>
      <c r="O120" s="71">
        <f>'Summary Data'!Q383</f>
        <v>0.54238418225718488</v>
      </c>
      <c r="P120" s="71">
        <f>'Summary Data'!Q410</f>
        <v>0</v>
      </c>
      <c r="Q120" s="71">
        <f>'Summary Data'!Q437</f>
        <v>0.43934749317180632</v>
      </c>
      <c r="R120" s="71">
        <f>'Summary Data'!Q464</f>
        <v>0.53314988980288502</v>
      </c>
      <c r="S120" s="71"/>
    </row>
    <row r="121" spans="1:19" x14ac:dyDescent="0.2">
      <c r="L121" s="71"/>
    </row>
    <row r="122" spans="1:19" x14ac:dyDescent="0.2">
      <c r="A122" s="63" t="s">
        <v>218</v>
      </c>
      <c r="B122" s="76">
        <f>-PMT(0.025,22,NPV(0.025,B99:B120))*22</f>
        <v>31.257534012234956</v>
      </c>
      <c r="C122" s="76">
        <f t="shared" ref="C122:Q122" si="102">-PMT(0.025,22,NPV(0.025,C99:C120))*22</f>
        <v>31.379326038118101</v>
      </c>
      <c r="D122" s="76">
        <f t="shared" si="102"/>
        <v>33.458267952643283</v>
      </c>
      <c r="E122" s="76">
        <f t="shared" si="102"/>
        <v>29.591214122510561</v>
      </c>
      <c r="F122" s="76">
        <f t="shared" si="102"/>
        <v>29.370745198067656</v>
      </c>
      <c r="G122" s="76">
        <f t="shared" si="102"/>
        <v>31.128782591657043</v>
      </c>
      <c r="H122" s="76">
        <f t="shared" si="102"/>
        <v>30.424897819655079</v>
      </c>
      <c r="I122" s="76">
        <f t="shared" si="102"/>
        <v>31.948519296575125</v>
      </c>
      <c r="J122" s="76">
        <f t="shared" si="102"/>
        <v>30.308992337445225</v>
      </c>
      <c r="K122" s="76">
        <f t="shared" si="102"/>
        <v>31.635149872114507</v>
      </c>
      <c r="L122" s="76">
        <f t="shared" si="102"/>
        <v>31.335354253452408</v>
      </c>
      <c r="M122" s="76">
        <f t="shared" si="102"/>
        <v>31.318736718314469</v>
      </c>
      <c r="N122" s="76">
        <f t="shared" si="102"/>
        <v>30.950078828776995</v>
      </c>
      <c r="O122" s="76">
        <f t="shared" si="102"/>
        <v>31.452328557131864</v>
      </c>
      <c r="P122" s="76">
        <f t="shared" si="102"/>
        <v>29.248871072133372</v>
      </c>
      <c r="Q122" s="76">
        <f t="shared" si="102"/>
        <v>29.937685081798627</v>
      </c>
      <c r="R122" s="76">
        <f t="shared" ref="R122" si="103">-PMT(0.025,22,NPV(0.025,R99:R120))*22</f>
        <v>31.451296772975297</v>
      </c>
      <c r="S122" s="76"/>
    </row>
    <row r="123" spans="1:19" x14ac:dyDescent="0.2">
      <c r="A123" s="63" t="s">
        <v>223</v>
      </c>
      <c r="B123" s="76">
        <f>SUM(B99:B120)</f>
        <v>29.88384851026521</v>
      </c>
      <c r="C123" s="76">
        <f t="shared" ref="C123:Q123" si="104">SUM(C99:C120)</f>
        <v>30.053012596980849</v>
      </c>
      <c r="D123" s="76">
        <f t="shared" si="104"/>
        <v>32.641279138299204</v>
      </c>
      <c r="E123" s="76">
        <f t="shared" si="104"/>
        <v>27.927780208555884</v>
      </c>
      <c r="F123" s="76">
        <f t="shared" si="104"/>
        <v>27.638536445040884</v>
      </c>
      <c r="G123" s="76">
        <f t="shared" si="104"/>
        <v>29.746479396301311</v>
      </c>
      <c r="H123" s="76">
        <f t="shared" si="104"/>
        <v>28.962190413357913</v>
      </c>
      <c r="I123" s="76">
        <f t="shared" si="104"/>
        <v>30.555353185315596</v>
      </c>
      <c r="J123" s="76">
        <f t="shared" si="104"/>
        <v>28.816522551156332</v>
      </c>
      <c r="K123" s="76">
        <f t="shared" si="104"/>
        <v>30.338301353006987</v>
      </c>
      <c r="L123" s="76">
        <f t="shared" si="104"/>
        <v>29.970762709385863</v>
      </c>
      <c r="M123" s="76">
        <f t="shared" si="104"/>
        <v>29.958446523732423</v>
      </c>
      <c r="N123" s="76">
        <f t="shared" si="104"/>
        <v>29.551300109777806</v>
      </c>
      <c r="O123" s="76">
        <f t="shared" si="104"/>
        <v>30.118202445200797</v>
      </c>
      <c r="P123" s="76">
        <f t="shared" si="104"/>
        <v>27.478643929805884</v>
      </c>
      <c r="Q123" s="76">
        <f t="shared" si="104"/>
        <v>28.360380918344323</v>
      </c>
      <c r="R123" s="76">
        <f t="shared" ref="R123" si="105">SUM(R99:R120)</f>
        <v>30.117038060975872</v>
      </c>
      <c r="S123" s="76"/>
    </row>
    <row r="124" spans="1:19" x14ac:dyDescent="0.2">
      <c r="A124" s="63" t="s">
        <v>83</v>
      </c>
      <c r="B124" s="76">
        <f t="shared" ref="B124:I124" si="106">B99</f>
        <v>2.9672417086309277</v>
      </c>
      <c r="C124" s="76">
        <f t="shared" si="106"/>
        <v>2.9672417086309277</v>
      </c>
      <c r="D124" s="76">
        <f t="shared" si="106"/>
        <v>2.9672417086309277</v>
      </c>
      <c r="E124" s="76">
        <f t="shared" si="106"/>
        <v>2.9672417086309277</v>
      </c>
      <c r="F124" s="76">
        <f t="shared" si="106"/>
        <v>2.9672417086309277</v>
      </c>
      <c r="G124" s="76">
        <f t="shared" si="106"/>
        <v>2.9672417086309277</v>
      </c>
      <c r="H124" s="76">
        <f t="shared" si="106"/>
        <v>2.9672417086309277</v>
      </c>
      <c r="I124" s="76">
        <f t="shared" si="106"/>
        <v>2.9672417086309277</v>
      </c>
      <c r="J124" s="76">
        <f t="shared" ref="J124:K124" si="107">J99</f>
        <v>2.9672417086309277</v>
      </c>
      <c r="K124" s="76">
        <f t="shared" si="107"/>
        <v>2.9672417086309277</v>
      </c>
      <c r="L124" s="76">
        <f t="shared" ref="L124:M124" si="108">L99</f>
        <v>2.9672417086309277</v>
      </c>
      <c r="M124" s="76">
        <f t="shared" si="108"/>
        <v>2.9672417086309277</v>
      </c>
      <c r="N124" s="76">
        <f t="shared" ref="N124:O124" si="109">N99</f>
        <v>2.9672417086309277</v>
      </c>
      <c r="O124" s="76">
        <f t="shared" si="109"/>
        <v>2.9672417086309277</v>
      </c>
      <c r="P124" s="76">
        <f t="shared" ref="P124:Q124" si="110">P99</f>
        <v>2.9672417086309277</v>
      </c>
      <c r="Q124" s="76">
        <f t="shared" si="110"/>
        <v>2.9672417086309277</v>
      </c>
      <c r="R124" s="76">
        <f t="shared" ref="R124" si="111">R99</f>
        <v>2.9672417086309277</v>
      </c>
      <c r="S124" s="76"/>
    </row>
    <row r="125" spans="1:19" x14ac:dyDescent="0.2">
      <c r="A125" s="63" t="s">
        <v>71</v>
      </c>
      <c r="B125" s="76">
        <f t="shared" ref="B125:I125" si="112">B120</f>
        <v>0.56058855046191713</v>
      </c>
      <c r="C125" s="76">
        <f t="shared" si="112"/>
        <v>0.86516497864165232</v>
      </c>
      <c r="D125" s="76">
        <f t="shared" si="112"/>
        <v>1.2694291321730551</v>
      </c>
      <c r="E125" s="76">
        <f t="shared" si="112"/>
        <v>0.44913627874999995</v>
      </c>
      <c r="F125" s="76">
        <f t="shared" si="112"/>
        <v>0.159892515235</v>
      </c>
      <c r="G125" s="76">
        <f t="shared" si="112"/>
        <v>0.57662421016115184</v>
      </c>
      <c r="H125" s="76">
        <f t="shared" si="112"/>
        <v>0.54381120102740121</v>
      </c>
      <c r="I125" s="76">
        <f t="shared" si="112"/>
        <v>0.57997833399660692</v>
      </c>
      <c r="J125" s="76">
        <f t="shared" ref="J125:K125" si="113">J120</f>
        <v>0.46777336104638978</v>
      </c>
      <c r="K125" s="76">
        <f t="shared" si="113"/>
        <v>0.63045428592155606</v>
      </c>
      <c r="L125" s="76">
        <f t="shared" ref="L125:M125" si="114">L120</f>
        <v>0.55708438269404459</v>
      </c>
      <c r="M125" s="76">
        <f t="shared" si="114"/>
        <v>0.52096860799196398</v>
      </c>
      <c r="N125" s="76">
        <f t="shared" ref="N125:O125" si="115">N120</f>
        <v>0.52686626434900963</v>
      </c>
      <c r="O125" s="76">
        <f t="shared" si="115"/>
        <v>0.54238418225718488</v>
      </c>
      <c r="P125" s="76">
        <f t="shared" ref="P125:Q125" si="116">P120</f>
        <v>0</v>
      </c>
      <c r="Q125" s="76">
        <f t="shared" si="116"/>
        <v>0.43934749317180632</v>
      </c>
      <c r="R125" s="76">
        <f t="shared" ref="R125" si="117">R120</f>
        <v>0.53314988980288502</v>
      </c>
      <c r="S125" s="76"/>
    </row>
    <row r="153" spans="1:19" x14ac:dyDescent="0.2"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</row>
    <row r="154" spans="1:19" x14ac:dyDescent="0.2">
      <c r="A154" s="2"/>
      <c r="B154" s="86"/>
      <c r="C154" s="86"/>
      <c r="D154" s="86"/>
      <c r="E154" s="86"/>
      <c r="F154" s="86"/>
      <c r="G154" s="68"/>
      <c r="H154" s="68"/>
      <c r="I154" s="86"/>
      <c r="J154" s="68"/>
      <c r="K154" s="68"/>
      <c r="L154" s="68"/>
      <c r="M154" s="68"/>
      <c r="N154" s="68"/>
      <c r="O154" s="68"/>
      <c r="P154" s="68"/>
      <c r="Q154" s="68"/>
      <c r="R154" s="68"/>
      <c r="S154" s="68"/>
    </row>
    <row r="155" spans="1:19" x14ac:dyDescent="0.2">
      <c r="A155" s="2"/>
      <c r="B155" s="86"/>
      <c r="C155" s="86"/>
      <c r="D155" s="86"/>
      <c r="E155" s="86"/>
      <c r="F155" s="86"/>
      <c r="G155" s="68"/>
      <c r="H155" s="68"/>
      <c r="I155" s="86"/>
      <c r="J155" s="68"/>
      <c r="K155" s="68"/>
      <c r="L155" s="68"/>
      <c r="M155" s="68"/>
      <c r="N155" s="68"/>
      <c r="O155" s="68"/>
      <c r="P155" s="68"/>
      <c r="Q155" s="68"/>
      <c r="R155" s="68"/>
      <c r="S155" s="68"/>
    </row>
    <row r="156" spans="1:19" x14ac:dyDescent="0.2">
      <c r="A156" s="2"/>
      <c r="B156" s="86"/>
      <c r="C156" s="86"/>
      <c r="D156" s="86"/>
      <c r="E156" s="86"/>
      <c r="F156" s="86"/>
      <c r="G156" s="68"/>
      <c r="H156" s="68"/>
      <c r="I156" s="86"/>
      <c r="J156" s="68"/>
      <c r="K156" s="68"/>
      <c r="L156" s="68"/>
      <c r="M156" s="68"/>
      <c r="N156" s="68"/>
      <c r="O156" s="68"/>
      <c r="P156" s="68"/>
      <c r="Q156" s="68"/>
      <c r="R156" s="68"/>
      <c r="S156" s="68"/>
    </row>
    <row r="157" spans="1:19" x14ac:dyDescent="0.2">
      <c r="A157" s="2"/>
      <c r="B157" s="86"/>
      <c r="C157" s="86"/>
      <c r="D157" s="86"/>
      <c r="E157" s="86"/>
      <c r="F157" s="86"/>
      <c r="G157" s="68"/>
      <c r="H157" s="68"/>
      <c r="I157" s="86"/>
      <c r="J157" s="68"/>
      <c r="K157" s="68"/>
      <c r="L157" s="68"/>
      <c r="M157" s="68"/>
      <c r="N157" s="68"/>
      <c r="O157" s="68"/>
      <c r="P157" s="68"/>
      <c r="Q157" s="68"/>
      <c r="R157" s="68"/>
      <c r="S157" s="68"/>
    </row>
    <row r="158" spans="1:19" x14ac:dyDescent="0.2">
      <c r="A158" s="2"/>
      <c r="B158" s="86"/>
      <c r="C158" s="86"/>
      <c r="D158" s="86"/>
      <c r="E158" s="86"/>
      <c r="F158" s="86"/>
      <c r="G158" s="68"/>
      <c r="H158" s="68"/>
      <c r="I158" s="86"/>
      <c r="J158" s="68"/>
      <c r="K158" s="68"/>
      <c r="L158" s="68"/>
      <c r="M158" s="68"/>
      <c r="N158" s="68"/>
      <c r="O158" s="68"/>
      <c r="P158" s="68"/>
      <c r="Q158" s="68"/>
      <c r="R158" s="68"/>
      <c r="S158" s="68"/>
    </row>
    <row r="159" spans="1:19" x14ac:dyDescent="0.2">
      <c r="A159" s="2"/>
      <c r="B159" s="86"/>
      <c r="C159" s="86"/>
      <c r="D159" s="86"/>
      <c r="E159" s="86"/>
      <c r="F159" s="86"/>
      <c r="G159" s="68"/>
      <c r="H159" s="68"/>
      <c r="I159" s="86"/>
      <c r="J159" s="68"/>
      <c r="K159" s="68"/>
      <c r="L159" s="68"/>
      <c r="M159" s="68"/>
      <c r="N159" s="68"/>
      <c r="O159" s="68"/>
      <c r="P159" s="68"/>
      <c r="Q159" s="68"/>
      <c r="R159" s="68"/>
      <c r="S159" s="68"/>
    </row>
    <row r="160" spans="1:19" x14ac:dyDescent="0.2">
      <c r="A160" s="2"/>
      <c r="B160" s="86"/>
      <c r="C160" s="86"/>
      <c r="D160" s="86"/>
      <c r="E160" s="86"/>
      <c r="F160" s="86"/>
      <c r="G160" s="68"/>
      <c r="H160" s="68"/>
      <c r="I160" s="86"/>
      <c r="J160" s="68"/>
      <c r="K160" s="68"/>
      <c r="L160" s="68"/>
      <c r="M160" s="68"/>
      <c r="N160" s="68"/>
      <c r="O160" s="68"/>
      <c r="P160" s="68"/>
      <c r="Q160" s="68"/>
      <c r="R160" s="68"/>
      <c r="S160" s="68"/>
    </row>
    <row r="161" spans="1:19" x14ac:dyDescent="0.2">
      <c r="A161" s="2"/>
      <c r="B161" s="86"/>
      <c r="C161" s="86"/>
      <c r="D161" s="86"/>
      <c r="E161" s="86"/>
      <c r="F161" s="86"/>
      <c r="G161" s="68"/>
      <c r="H161" s="68"/>
      <c r="I161" s="86"/>
      <c r="J161" s="68"/>
      <c r="K161" s="68"/>
      <c r="L161" s="68"/>
      <c r="M161" s="68"/>
      <c r="N161" s="68"/>
      <c r="O161" s="68"/>
      <c r="P161" s="68"/>
      <c r="Q161" s="68"/>
      <c r="R161" s="68"/>
      <c r="S161" s="68"/>
    </row>
    <row r="162" spans="1:19" x14ac:dyDescent="0.2">
      <c r="A162" s="2"/>
      <c r="B162" s="86"/>
      <c r="C162" s="86"/>
      <c r="D162" s="86"/>
      <c r="E162" s="86"/>
      <c r="F162" s="86"/>
      <c r="G162" s="68"/>
      <c r="H162" s="68"/>
      <c r="I162" s="86"/>
      <c r="J162" s="68"/>
      <c r="K162" s="68"/>
      <c r="L162" s="68"/>
      <c r="M162" s="68"/>
      <c r="N162" s="68"/>
      <c r="O162" s="68"/>
      <c r="P162" s="68"/>
      <c r="Q162" s="68"/>
      <c r="R162" s="68"/>
      <c r="S162" s="68"/>
    </row>
    <row r="163" spans="1:19" x14ac:dyDescent="0.2">
      <c r="A163" s="2"/>
      <c r="B163" s="86"/>
      <c r="C163" s="86"/>
      <c r="D163" s="86"/>
      <c r="E163" s="86"/>
      <c r="F163" s="86"/>
      <c r="G163" s="68"/>
      <c r="H163" s="68"/>
      <c r="I163" s="86"/>
      <c r="J163" s="68"/>
      <c r="K163" s="68"/>
      <c r="L163" s="68"/>
      <c r="M163" s="68"/>
      <c r="N163" s="68"/>
      <c r="O163" s="68"/>
      <c r="P163" s="68"/>
      <c r="Q163" s="68"/>
      <c r="R163" s="68"/>
      <c r="S163" s="68"/>
    </row>
    <row r="164" spans="1:19" x14ac:dyDescent="0.2">
      <c r="A164" s="2"/>
      <c r="B164" s="86"/>
      <c r="C164" s="86"/>
      <c r="D164" s="86"/>
      <c r="E164" s="86"/>
      <c r="F164" s="86"/>
      <c r="G164" s="68"/>
      <c r="H164" s="68"/>
      <c r="I164" s="86"/>
      <c r="J164" s="68"/>
      <c r="K164" s="68"/>
      <c r="L164" s="68"/>
      <c r="M164" s="68"/>
      <c r="N164" s="68"/>
      <c r="O164" s="68"/>
      <c r="P164" s="68"/>
      <c r="Q164" s="68"/>
      <c r="R164" s="68"/>
      <c r="S164" s="68"/>
    </row>
    <row r="165" spans="1:19" x14ac:dyDescent="0.2">
      <c r="A165" s="2"/>
      <c r="B165" s="86"/>
      <c r="C165" s="86"/>
      <c r="D165" s="86"/>
      <c r="E165" s="86"/>
      <c r="F165" s="86"/>
      <c r="G165" s="68"/>
      <c r="H165" s="68"/>
      <c r="I165" s="86"/>
      <c r="J165" s="68"/>
      <c r="K165" s="68"/>
      <c r="L165" s="68"/>
      <c r="M165" s="68"/>
      <c r="N165" s="68"/>
      <c r="O165" s="68"/>
      <c r="P165" s="68"/>
      <c r="Q165" s="68"/>
      <c r="R165" s="68"/>
      <c r="S165" s="68"/>
    </row>
    <row r="166" spans="1:19" x14ac:dyDescent="0.2">
      <c r="A166" s="2"/>
      <c r="B166" s="86"/>
      <c r="C166" s="86"/>
      <c r="D166" s="86"/>
      <c r="E166" s="86"/>
      <c r="F166" s="86"/>
      <c r="G166" s="68"/>
      <c r="H166" s="68"/>
      <c r="I166" s="86"/>
      <c r="J166" s="68"/>
      <c r="K166" s="68"/>
      <c r="L166" s="68"/>
      <c r="M166" s="68"/>
      <c r="N166" s="68"/>
      <c r="O166" s="68"/>
      <c r="P166" s="68"/>
      <c r="Q166" s="68"/>
      <c r="R166" s="68"/>
      <c r="S166" s="68"/>
    </row>
    <row r="167" spans="1:19" x14ac:dyDescent="0.2">
      <c r="A167" s="2"/>
      <c r="B167" s="86"/>
      <c r="C167" s="86"/>
      <c r="D167" s="86"/>
      <c r="E167" s="86"/>
      <c r="F167" s="86"/>
      <c r="G167" s="68"/>
      <c r="H167" s="68"/>
      <c r="I167" s="86"/>
      <c r="J167" s="68"/>
      <c r="K167" s="68"/>
      <c r="L167" s="68"/>
      <c r="M167" s="68"/>
      <c r="N167" s="68"/>
      <c r="O167" s="68"/>
      <c r="P167" s="68"/>
      <c r="Q167" s="68"/>
      <c r="R167" s="68"/>
      <c r="S167" s="68"/>
    </row>
    <row r="168" spans="1:19" x14ac:dyDescent="0.2">
      <c r="A168" s="2"/>
      <c r="B168" s="86"/>
      <c r="C168" s="86"/>
      <c r="D168" s="86"/>
      <c r="E168" s="86"/>
      <c r="F168" s="86"/>
      <c r="G168" s="68"/>
      <c r="H168" s="68"/>
      <c r="I168" s="86"/>
      <c r="J168" s="68"/>
      <c r="K168" s="68"/>
      <c r="L168" s="68"/>
      <c r="M168" s="68"/>
      <c r="N168" s="68"/>
      <c r="O168" s="68"/>
      <c r="P168" s="68"/>
      <c r="Q168" s="68"/>
      <c r="R168" s="68"/>
      <c r="S168" s="68"/>
    </row>
    <row r="169" spans="1:19" x14ac:dyDescent="0.2">
      <c r="A169" s="2"/>
      <c r="B169" s="86"/>
      <c r="C169" s="86"/>
      <c r="D169" s="86"/>
      <c r="E169" s="86"/>
      <c r="F169" s="86"/>
      <c r="G169" s="68"/>
      <c r="H169" s="68"/>
      <c r="I169" s="86"/>
      <c r="J169" s="68"/>
      <c r="K169" s="68"/>
      <c r="L169" s="68"/>
      <c r="M169" s="68"/>
      <c r="N169" s="68"/>
      <c r="O169" s="68"/>
      <c r="P169" s="68"/>
      <c r="Q169" s="68"/>
      <c r="R169" s="68"/>
      <c r="S169" s="68"/>
    </row>
    <row r="170" spans="1:19" x14ac:dyDescent="0.2">
      <c r="A170" s="2"/>
      <c r="B170" s="86"/>
      <c r="C170" s="86"/>
      <c r="D170" s="86"/>
      <c r="E170" s="86"/>
      <c r="F170" s="86"/>
      <c r="G170" s="68"/>
      <c r="H170" s="68"/>
      <c r="I170" s="86"/>
      <c r="J170" s="68"/>
      <c r="K170" s="68"/>
      <c r="L170" s="68"/>
      <c r="M170" s="68"/>
      <c r="N170" s="68"/>
      <c r="O170" s="68"/>
      <c r="P170" s="68"/>
      <c r="Q170" s="68"/>
      <c r="R170" s="68"/>
      <c r="S170" s="68"/>
    </row>
    <row r="171" spans="1:19" x14ac:dyDescent="0.2">
      <c r="A171" s="2"/>
      <c r="B171" s="86"/>
      <c r="C171" s="86"/>
      <c r="D171" s="86"/>
      <c r="E171" s="86"/>
      <c r="F171" s="86"/>
      <c r="G171" s="68"/>
      <c r="H171" s="68"/>
      <c r="I171" s="86"/>
      <c r="J171" s="68"/>
      <c r="K171" s="68"/>
      <c r="L171" s="68"/>
      <c r="M171" s="68"/>
      <c r="N171" s="68"/>
      <c r="O171" s="68"/>
      <c r="P171" s="68"/>
      <c r="Q171" s="68"/>
      <c r="R171" s="68"/>
      <c r="S171" s="68"/>
    </row>
    <row r="172" spans="1:19" x14ac:dyDescent="0.2">
      <c r="A172" s="2"/>
      <c r="B172" s="86"/>
      <c r="C172" s="86"/>
      <c r="D172" s="86"/>
      <c r="E172" s="86"/>
      <c r="F172" s="86"/>
      <c r="G172" s="68"/>
      <c r="H172" s="68"/>
      <c r="I172" s="86"/>
      <c r="J172" s="68"/>
      <c r="K172" s="68"/>
      <c r="L172" s="68"/>
      <c r="M172" s="68"/>
      <c r="N172" s="68"/>
      <c r="O172" s="68"/>
      <c r="P172" s="68"/>
      <c r="Q172" s="68"/>
      <c r="R172" s="68"/>
      <c r="S172" s="68"/>
    </row>
    <row r="173" spans="1:19" x14ac:dyDescent="0.2">
      <c r="A173" s="2"/>
      <c r="B173" s="86"/>
      <c r="C173" s="86"/>
      <c r="D173" s="86"/>
      <c r="E173" s="86"/>
      <c r="F173" s="86"/>
      <c r="G173" s="68"/>
      <c r="H173" s="68"/>
      <c r="I173" s="86"/>
      <c r="J173" s="68"/>
      <c r="K173" s="68"/>
      <c r="L173" s="68"/>
      <c r="M173" s="68"/>
      <c r="N173" s="68"/>
      <c r="O173" s="68"/>
      <c r="P173" s="68"/>
      <c r="Q173" s="68"/>
      <c r="R173" s="68"/>
      <c r="S173" s="68"/>
    </row>
    <row r="174" spans="1:19" x14ac:dyDescent="0.2">
      <c r="A174" s="2"/>
      <c r="B174" s="86"/>
      <c r="C174" s="86"/>
      <c r="D174" s="86"/>
      <c r="E174" s="86"/>
      <c r="F174" s="86"/>
      <c r="G174" s="68"/>
      <c r="H174" s="68"/>
      <c r="I174" s="86"/>
      <c r="J174" s="68"/>
      <c r="K174" s="68"/>
      <c r="L174" s="68"/>
      <c r="M174" s="68"/>
      <c r="N174" s="68"/>
      <c r="O174" s="68"/>
      <c r="P174" s="68"/>
      <c r="Q174" s="68"/>
      <c r="R174" s="68"/>
      <c r="S174" s="68"/>
    </row>
    <row r="175" spans="1:19" x14ac:dyDescent="0.2">
      <c r="A175" s="2"/>
      <c r="B175" s="86"/>
      <c r="C175" s="86"/>
      <c r="D175" s="86"/>
      <c r="E175" s="86"/>
      <c r="F175" s="86"/>
      <c r="G175" s="68"/>
      <c r="H175" s="68"/>
      <c r="I175" s="86"/>
      <c r="J175" s="68"/>
      <c r="K175" s="68"/>
      <c r="L175" s="68"/>
      <c r="M175" s="68"/>
      <c r="N175" s="68"/>
      <c r="O175" s="68"/>
      <c r="P175" s="68"/>
      <c r="Q175" s="68"/>
      <c r="R175" s="68"/>
      <c r="S175" s="68"/>
    </row>
    <row r="176" spans="1:19" x14ac:dyDescent="0.2">
      <c r="A176" s="2"/>
      <c r="B176" s="86"/>
      <c r="C176" s="86"/>
      <c r="D176" s="86"/>
      <c r="E176" s="86"/>
      <c r="F176" s="86"/>
      <c r="G176" s="68"/>
      <c r="H176" s="68"/>
      <c r="I176" s="86"/>
      <c r="J176" s="68"/>
      <c r="K176" s="68"/>
      <c r="L176" s="68"/>
      <c r="M176" s="68"/>
      <c r="N176" s="68"/>
      <c r="O176" s="68"/>
      <c r="P176" s="68"/>
      <c r="Q176" s="68"/>
      <c r="R176" s="68"/>
      <c r="S176" s="68"/>
    </row>
    <row r="177" spans="1:19" x14ac:dyDescent="0.2">
      <c r="A177" s="2"/>
      <c r="B177" s="86"/>
      <c r="C177" s="86"/>
      <c r="D177" s="86"/>
      <c r="E177" s="86"/>
      <c r="F177" s="86"/>
      <c r="G177" s="68"/>
      <c r="H177" s="68"/>
      <c r="I177" s="86"/>
      <c r="J177" s="68"/>
      <c r="K177" s="68"/>
      <c r="L177" s="68"/>
      <c r="M177" s="68"/>
      <c r="N177" s="68"/>
      <c r="O177" s="68"/>
      <c r="P177" s="68"/>
      <c r="Q177" s="68"/>
      <c r="R177" s="68"/>
      <c r="S177" s="68"/>
    </row>
    <row r="179" spans="1:19" x14ac:dyDescent="0.2"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</row>
    <row r="180" spans="1:19" x14ac:dyDescent="0.2"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3"/>
  <sheetViews>
    <sheetView workbookViewId="0">
      <selection activeCell="A3" sqref="A3:S20"/>
    </sheetView>
  </sheetViews>
  <sheetFormatPr defaultRowHeight="15" x14ac:dyDescent="0.25"/>
  <cols>
    <col min="1" max="1" width="43.5703125" style="80" bestFit="1" customWidth="1"/>
    <col min="2" max="18" width="11" style="80" customWidth="1"/>
    <col min="19" max="19" width="11.28515625" style="80" customWidth="1"/>
    <col min="20" max="16384" width="9.140625" style="80"/>
  </cols>
  <sheetData>
    <row r="1" spans="1:25" x14ac:dyDescent="0.25">
      <c r="A1" s="80">
        <f>COLUMN()</f>
        <v>1</v>
      </c>
      <c r="B1" s="80">
        <f>COLUMN()</f>
        <v>2</v>
      </c>
      <c r="C1" s="80">
        <f>COLUMN()</f>
        <v>3</v>
      </c>
      <c r="D1" s="80">
        <f>COLUMN()</f>
        <v>4</v>
      </c>
      <c r="E1" s="80">
        <f>COLUMN()</f>
        <v>5</v>
      </c>
      <c r="F1" s="80">
        <f>COLUMN()</f>
        <v>6</v>
      </c>
      <c r="G1" s="80">
        <f>COLUMN()</f>
        <v>7</v>
      </c>
      <c r="H1" s="80">
        <f>COLUMN()</f>
        <v>8</v>
      </c>
      <c r="I1" s="80">
        <f>COLUMN()</f>
        <v>9</v>
      </c>
      <c r="J1" s="80">
        <f>COLUMN()</f>
        <v>10</v>
      </c>
      <c r="K1" s="80">
        <f>COLUMN()</f>
        <v>11</v>
      </c>
      <c r="L1" s="80">
        <f>COLUMN()</f>
        <v>12</v>
      </c>
      <c r="M1" s="80">
        <f>COLUMN()</f>
        <v>13</v>
      </c>
      <c r="N1" s="80">
        <f>COLUMN()</f>
        <v>14</v>
      </c>
      <c r="O1" s="80">
        <f>COLUMN()</f>
        <v>15</v>
      </c>
      <c r="P1" s="80">
        <f>COLUMN()</f>
        <v>16</v>
      </c>
      <c r="Q1" s="80">
        <f>COLUMN()</f>
        <v>17</v>
      </c>
      <c r="R1" s="80">
        <f>COLUMN()</f>
        <v>18</v>
      </c>
      <c r="S1" s="80">
        <f>COLUMN()</f>
        <v>19</v>
      </c>
      <c r="T1" s="80">
        <f>COLUMN()</f>
        <v>20</v>
      </c>
      <c r="U1" s="80">
        <f>COLUMN()</f>
        <v>21</v>
      </c>
      <c r="V1" s="80">
        <f>COLUMN()</f>
        <v>22</v>
      </c>
      <c r="W1" s="80">
        <f>COLUMN()</f>
        <v>23</v>
      </c>
    </row>
    <row r="2" spans="1:25" x14ac:dyDescent="0.25">
      <c r="B2" s="81"/>
      <c r="C2" s="81"/>
      <c r="D2" s="81"/>
      <c r="E2" s="81"/>
      <c r="F2" s="81"/>
      <c r="G2" s="81"/>
      <c r="H2" s="81"/>
      <c r="V2" s="80">
        <v>2045</v>
      </c>
      <c r="W2" s="80">
        <v>2045</v>
      </c>
    </row>
    <row r="3" spans="1:25" s="82" customFormat="1" ht="51" x14ac:dyDescent="0.25">
      <c r="A3" s="58" t="s">
        <v>30</v>
      </c>
      <c r="B3" s="79" t="s">
        <v>74</v>
      </c>
      <c r="C3" s="79" t="s">
        <v>73</v>
      </c>
      <c r="D3" s="79" t="s">
        <v>217</v>
      </c>
      <c r="E3" s="79" t="s">
        <v>211</v>
      </c>
      <c r="F3" s="79" t="s">
        <v>212</v>
      </c>
      <c r="G3" s="79" t="s">
        <v>214</v>
      </c>
      <c r="H3" s="79" t="s">
        <v>215</v>
      </c>
      <c r="I3" s="79" t="s">
        <v>75</v>
      </c>
      <c r="J3" s="79" t="s">
        <v>76</v>
      </c>
      <c r="K3" s="79" t="s">
        <v>77</v>
      </c>
      <c r="L3" s="79" t="s">
        <v>78</v>
      </c>
      <c r="M3" s="79" t="s">
        <v>209</v>
      </c>
      <c r="N3" s="79" t="s">
        <v>210</v>
      </c>
      <c r="O3" s="79" t="s">
        <v>207</v>
      </c>
      <c r="P3" s="79" t="s">
        <v>208</v>
      </c>
      <c r="Q3" s="79" t="s">
        <v>205</v>
      </c>
      <c r="R3" s="79" t="s">
        <v>206</v>
      </c>
      <c r="S3" s="79" t="s">
        <v>79</v>
      </c>
      <c r="V3" s="82" t="s">
        <v>80</v>
      </c>
      <c r="W3" s="82" t="s">
        <v>81</v>
      </c>
      <c r="Y3" s="82" t="s">
        <v>82</v>
      </c>
    </row>
    <row r="4" spans="1:25" x14ac:dyDescent="0.25">
      <c r="A4" s="39" t="str">
        <f>'Scenario List'!A3</f>
        <v>1- Preferred Resource Strategy</v>
      </c>
      <c r="B4" s="59">
        <f>HLOOKUP($A4,'Annual Summaries'!$B$3:$R$29,27,FALSE)</f>
        <v>10212.54177015306</v>
      </c>
      <c r="C4" s="59">
        <f>HLOOKUP($A4,'Annual Summaries'!$T$3:$AN$29,27,FALSE)</f>
        <v>4783.1210136077843</v>
      </c>
      <c r="D4" s="59">
        <f>SUM(B4:C4)</f>
        <v>14995.662783760845</v>
      </c>
      <c r="E4" s="59">
        <f>-PMT('Annual Summaries'!$A$1,22,B4)</f>
        <v>886.08943125442033</v>
      </c>
      <c r="F4" s="59">
        <f>-PMT('Annual Summaries'!$A$1,22,C4)</f>
        <v>415.0066725754275</v>
      </c>
      <c r="G4" s="59">
        <f>-PMT('Annual Summaries'!$A$1,16,HLOOKUP($A4,'Annual Summaries'!$B$3:$T$36,34,FALSE))</f>
        <v>1018.6548949118463</v>
      </c>
      <c r="H4" s="59">
        <f>-PMT('Annual Summaries'!$A$1,16,HLOOKUP($A4,'Annual Summaries'!$T$3:$AN$36,34,FALSE))</f>
        <v>468.92001427204514</v>
      </c>
      <c r="I4" s="83">
        <f>HLOOKUP($A4,'Annual Summaries'!$B$39:$R$63,10,FALSE)</f>
        <v>0.13267359510523058</v>
      </c>
      <c r="J4" s="83">
        <f>HLOOKUP($A4,'Annual Summaries'!$B$39:$R$63,25,FALSE)</f>
        <v>0.23402456426830173</v>
      </c>
      <c r="K4" s="83">
        <f>HLOOKUP($A4,'Annual Summaries'!$T$39:$AJ$63,10,FALSE)</f>
        <v>0.1185973018302955</v>
      </c>
      <c r="L4" s="83">
        <f>HLOOKUP($A4,'Annual Summaries'!$T$39:$AJ$63,25,FALSE)</f>
        <v>0.18460326731151203</v>
      </c>
      <c r="M4" s="59">
        <f>VLOOKUP($A4&amp;"&amp;"&amp;2030,'Summary Data'!$A$4:$Y$580,12,FALSE)</f>
        <v>12.483116796170508</v>
      </c>
      <c r="N4" s="59">
        <f>+VLOOKUP($A4&amp;"&amp;"&amp;2030,'Summary Data'!$A$4:$Y$580,13,FALSE)</f>
        <v>9.0434865139901799</v>
      </c>
      <c r="O4" s="59">
        <f>VLOOKUP($A4&amp;"&amp;"&amp;2045,'Summary Data'!$A$4:$Y$580,12,FALSE)</f>
        <v>20.801916909841097</v>
      </c>
      <c r="P4" s="59">
        <f>VLOOKUP($A4&amp;"&amp;"&amp;2045,'Summary Data'!$A$4:$Y$580,13,FALSE)</f>
        <v>23.547521006811568</v>
      </c>
      <c r="Q4" s="59">
        <f>VLOOKUP($A4&amp;"&amp;"&amp;2045,'Summary Data'!$A$4:$Y$580,14,FALSE)</f>
        <v>37.808479856547791</v>
      </c>
      <c r="R4" s="59">
        <f>+VLOOKUP($A4&amp;"&amp;"&amp;2045,'Summary Data'!$A$4:$Y$580,15,FALSE)</f>
        <v>44.397763042185261</v>
      </c>
      <c r="S4" s="84">
        <f>HLOOKUP($A4,'Annual Summaries'!$B$96:$S$120,25,FALSE)</f>
        <v>0.56058855046191713</v>
      </c>
      <c r="Y4" s="81">
        <f>C4+B4</f>
        <v>14995.662783760845</v>
      </c>
    </row>
    <row r="5" spans="1:25" x14ac:dyDescent="0.25">
      <c r="A5" s="39" t="str">
        <f>'Scenario List'!A4</f>
        <v>2- Alternative Lowest Reasonable Cost Portfolio</v>
      </c>
      <c r="B5" s="59">
        <f>HLOOKUP($A5,'Annual Summaries'!$B$3:$R$29,27,FALSE)</f>
        <v>10122.156772005914</v>
      </c>
      <c r="C5" s="59">
        <f>HLOOKUP($A5,'Annual Summaries'!$T$3:$AN$29,27,FALSE)</f>
        <v>4777.897616031637</v>
      </c>
      <c r="D5" s="59">
        <f t="shared" ref="D5:D20" si="0">SUM(B5:C5)</f>
        <v>14900.054388037552</v>
      </c>
      <c r="E5" s="59">
        <f>-PMT('Annual Summaries'!$A$1,22,B5)</f>
        <v>878.24719242645244</v>
      </c>
      <c r="F5" s="59">
        <f>-PMT('Annual Summaries'!$A$1,22,C5)</f>
        <v>414.55346538258243</v>
      </c>
      <c r="G5" s="59">
        <f>-PMT('Annual Summaries'!$A$1,16,HLOOKUP($A5,'Annual Summaries'!$B$3:$T$36,34,FALSE))</f>
        <v>1006.3628265606583</v>
      </c>
      <c r="H5" s="59">
        <f>-PMT('Annual Summaries'!$A$1,16,HLOOKUP($A5,'Annual Summaries'!$T$3:$AN$36,34,FALSE))</f>
        <v>468.13801051931375</v>
      </c>
      <c r="I5" s="83">
        <f>HLOOKUP($A5,'Annual Summaries'!$B$39:$R$63,10,FALSE)</f>
        <v>0.13203057852115693</v>
      </c>
      <c r="J5" s="83">
        <f>HLOOKUP($A5,'Annual Summaries'!$B$39:$R$63,25,FALSE)</f>
        <v>0.2223633905095804</v>
      </c>
      <c r="K5" s="83">
        <f>HLOOKUP($A5,'Annual Summaries'!$T$39:$AJ$63,10,FALSE)</f>
        <v>0.11873474555602197</v>
      </c>
      <c r="L5" s="83">
        <f>HLOOKUP($A5,'Annual Summaries'!$T$39:$AJ$63,25,FALSE)</f>
        <v>0.1806547710836616</v>
      </c>
      <c r="M5" s="59">
        <f>VLOOKUP($A5&amp;"&amp;"&amp;2030,'Summary Data'!$A$4:$Y$580,12,FALSE)</f>
        <v>12.508485075414605</v>
      </c>
      <c r="N5" s="59">
        <f>+VLOOKUP($A5&amp;"&amp;"&amp;2030,'Summary Data'!$A$4:$Y$580,13,FALSE)</f>
        <v>9.0195957240323708</v>
      </c>
      <c r="O5" s="59">
        <f>VLOOKUP($A5&amp;"&amp;"&amp;2045,'Summary Data'!$A$4:$Y$580,12,FALSE)</f>
        <v>20.887823663171854</v>
      </c>
      <c r="P5" s="59">
        <f>VLOOKUP($A5&amp;"&amp;"&amp;2045,'Summary Data'!$A$4:$Y$580,13,FALSE)</f>
        <v>23.682345356663184</v>
      </c>
      <c r="Q5" s="59">
        <f>VLOOKUP($A5&amp;"&amp;"&amp;2045,'Summary Data'!$A$4:$Y$580,14,FALSE)</f>
        <v>39.281896649635776</v>
      </c>
      <c r="R5" s="59">
        <f>+VLOOKUP($A5&amp;"&amp;"&amp;2045,'Summary Data'!$A$4:$Y$580,15,FALSE)</f>
        <v>46.298786938641413</v>
      </c>
      <c r="S5" s="84">
        <f>HLOOKUP($A5,'Annual Summaries'!$B$96:$S$120,25,FALSE)</f>
        <v>0.86516497864165232</v>
      </c>
      <c r="V5" s="85">
        <f>(J5-J$4)/J$4</f>
        <v>-4.9828845083767219E-2</v>
      </c>
      <c r="W5" s="85">
        <f>(L5-L$4)/L$4</f>
        <v>-2.1389091782365203E-2</v>
      </c>
      <c r="Y5" s="81">
        <f t="shared" ref="Y5:Y18" si="1">C5+B5</f>
        <v>14900.054388037552</v>
      </c>
    </row>
    <row r="6" spans="1:25" x14ac:dyDescent="0.25">
      <c r="A6" s="39" t="str">
        <f>'Scenario List'!A5</f>
        <v>3- Baseline Portfolio</v>
      </c>
      <c r="B6" s="59">
        <f>HLOOKUP($A6,'Annual Summaries'!$B$3:$R$29,27,FALSE)</f>
        <v>10063.54613897866</v>
      </c>
      <c r="C6" s="59">
        <f>HLOOKUP($A6,'Annual Summaries'!$T$3:$AN$29,27,FALSE)</f>
        <v>4788.7513375827311</v>
      </c>
      <c r="D6" s="59">
        <f t="shared" si="0"/>
        <v>14852.297476561391</v>
      </c>
      <c r="E6" s="59">
        <f>-PMT('Annual Summaries'!$A$1,22,B6)</f>
        <v>873.16185092641933</v>
      </c>
      <c r="F6" s="59">
        <f>-PMT('Annual Summaries'!$A$1,22,C6)</f>
        <v>415.49518666731785</v>
      </c>
      <c r="G6" s="59">
        <f>-PMT('Annual Summaries'!$A$1,16,HLOOKUP($A6,'Annual Summaries'!$B$3:$T$36,34,FALSE))</f>
        <v>996.39101993515214</v>
      </c>
      <c r="H6" s="59">
        <f>-PMT('Annual Summaries'!$A$1,16,HLOOKUP($A6,'Annual Summaries'!$T$3:$AN$36,34,FALSE))</f>
        <v>469.76612919149477</v>
      </c>
      <c r="I6" s="83">
        <f>HLOOKUP($A6,'Annual Summaries'!$B$39:$R$63,10,FALSE)</f>
        <v>0.13265834347180819</v>
      </c>
      <c r="J6" s="83">
        <f>HLOOKUP($A6,'Annual Summaries'!$B$39:$R$63,25,FALSE)</f>
        <v>0.2046221874849706</v>
      </c>
      <c r="K6" s="83">
        <f>HLOOKUP($A6,'Annual Summaries'!$T$39:$AJ$63,10,FALSE)</f>
        <v>0.11859328115315164</v>
      </c>
      <c r="L6" s="83">
        <f>HLOOKUP($A6,'Annual Summaries'!$T$39:$AJ$63,25,FALSE)</f>
        <v>0.18389149084065629</v>
      </c>
      <c r="M6" s="59">
        <f>VLOOKUP($A6&amp;"&amp;"&amp;2030,'Summary Data'!$A$4:$Y$580,12,FALSE)</f>
        <v>12.506160221478861</v>
      </c>
      <c r="N6" s="59">
        <f>+VLOOKUP($A6&amp;"&amp;"&amp;2030,'Summary Data'!$A$4:$Y$580,13,FALSE)</f>
        <v>9.0434865139901799</v>
      </c>
      <c r="O6" s="59">
        <f>VLOOKUP($A6&amp;"&amp;"&amp;2045,'Summary Data'!$A$4:$Y$580,12,FALSE)</f>
        <v>29.515323307428446</v>
      </c>
      <c r="P6" s="59">
        <f>VLOOKUP($A6&amp;"&amp;"&amp;2045,'Summary Data'!$A$4:$Y$580,13,FALSE)</f>
        <v>20.940929057280577</v>
      </c>
      <c r="Q6" s="59">
        <f>VLOOKUP($A6&amp;"&amp;"&amp;2045,'Summary Data'!$A$4:$Y$580,14,FALSE)</f>
        <v>55.804920737589043</v>
      </c>
      <c r="R6" s="59">
        <f>+VLOOKUP($A6&amp;"&amp;"&amp;2045,'Summary Data'!$A$4:$Y$580,15,FALSE)</f>
        <v>40.595262183899536</v>
      </c>
      <c r="S6" s="84">
        <f>HLOOKUP($A6,'Annual Summaries'!$B$96:$S$120,25,FALSE)</f>
        <v>1.2694291321730551</v>
      </c>
      <c r="V6" s="85">
        <f t="shared" ref="V6:V18" si="2">(J6-J$4)/J$4</f>
        <v>-0.12563799392281846</v>
      </c>
      <c r="W6" s="85">
        <f t="shared" ref="W6:W18" si="3">(L6-L$4)/L$4</f>
        <v>-3.8557089547859458E-3</v>
      </c>
      <c r="Y6" s="81">
        <f t="shared" si="1"/>
        <v>14852.297476561391</v>
      </c>
    </row>
    <row r="7" spans="1:25" x14ac:dyDescent="0.25">
      <c r="A7" s="39" t="str">
        <f>'Scenario List'!A6</f>
        <v>4- No Resource Additions</v>
      </c>
      <c r="B7" s="59">
        <f>HLOOKUP($A7,'Annual Summaries'!$B$3:$R$29,27,FALSE)</f>
        <v>9965.8100132929158</v>
      </c>
      <c r="C7" s="59">
        <f>HLOOKUP($A7,'Annual Summaries'!$T$3:$AN$29,27,FALSE)</f>
        <v>4713.2019392591546</v>
      </c>
      <c r="D7" s="59">
        <f t="shared" si="0"/>
        <v>14679.011952552071</v>
      </c>
      <c r="E7" s="59">
        <f>-PMT('Annual Summaries'!$A$1,22,B7)</f>
        <v>864.68179278114985</v>
      </c>
      <c r="F7" s="59">
        <f>-PMT('Annual Summaries'!$A$1,22,C7)</f>
        <v>408.94015610795219</v>
      </c>
      <c r="G7" s="59">
        <f>-PMT('Annual Summaries'!$A$1,16,HLOOKUP($A7,'Annual Summaries'!$B$3:$T$36,34,FALSE))</f>
        <v>981.94765732729547</v>
      </c>
      <c r="H7" s="59">
        <f>-PMT('Annual Summaries'!$A$1,16,HLOOKUP($A7,'Annual Summaries'!$T$3:$AN$36,34,FALSE))</f>
        <v>458.46632146334514</v>
      </c>
      <c r="I7" s="83">
        <f>HLOOKUP($A7,'Annual Summaries'!$B$39:$R$63,10,FALSE)</f>
        <v>0.13267496331058853</v>
      </c>
      <c r="J7" s="83">
        <f>HLOOKUP($A7,'Annual Summaries'!$B$39:$R$63,25,FALSE)</f>
        <v>0.1940355520856471</v>
      </c>
      <c r="K7" s="83">
        <f>HLOOKUP($A7,'Annual Summaries'!$T$39:$AJ$63,10,FALSE)</f>
        <v>0.11852509684482135</v>
      </c>
      <c r="L7" s="83">
        <f>HLOOKUP($A7,'Annual Summaries'!$T$39:$AJ$63,25,FALSE)</f>
        <v>0.16942603612961071</v>
      </c>
      <c r="M7" s="59">
        <f>VLOOKUP($A7&amp;"&amp;"&amp;2030,'Summary Data'!$A$4:$Y$580,12,FALSE)</f>
        <v>16.174282773311365</v>
      </c>
      <c r="N7" s="59">
        <f>+VLOOKUP($A7&amp;"&amp;"&amp;2030,'Summary Data'!$A$4:$Y$580,13,FALSE)</f>
        <v>9.0434865139901799</v>
      </c>
      <c r="O7" s="59">
        <f>VLOOKUP($A7&amp;"&amp;"&amp;2045,'Summary Data'!$A$4:$Y$580,12,FALSE)</f>
        <v>45.558409396096721</v>
      </c>
      <c r="P7" s="59">
        <f>VLOOKUP($A7&amp;"&amp;"&amp;2045,'Summary Data'!$A$4:$Y$580,13,FALSE)</f>
        <v>25.846661443757128</v>
      </c>
      <c r="Q7" s="59">
        <f>VLOOKUP($A7&amp;"&amp;"&amp;2045,'Summary Data'!$A$4:$Y$580,14,FALSE)</f>
        <v>87.651002111892581</v>
      </c>
      <c r="R7" s="59">
        <f>+VLOOKUP($A7&amp;"&amp;"&amp;2045,'Summary Data'!$A$4:$Y$580,15,FALSE)</f>
        <v>49.537523355781616</v>
      </c>
      <c r="S7" s="84">
        <f>HLOOKUP($A7,'Annual Summaries'!$B$96:$S$120,25,FALSE)</f>
        <v>0.44913627874999995</v>
      </c>
      <c r="V7" s="85">
        <f t="shared" si="2"/>
        <v>-0.17087527673722533</v>
      </c>
      <c r="W7" s="85">
        <f t="shared" si="3"/>
        <v>-8.2215398475533094E-2</v>
      </c>
      <c r="Y7" s="81">
        <f t="shared" si="1"/>
        <v>14679.011952552071</v>
      </c>
    </row>
    <row r="8" spans="1:25" x14ac:dyDescent="0.25">
      <c r="A8" s="39" t="str">
        <f>'Scenario List'!A7</f>
        <v>5- No CETA/ No new NG</v>
      </c>
      <c r="B8" s="59">
        <f>HLOOKUP($A8,'Annual Summaries'!$B$3:$R$29,27,FALSE)</f>
        <v>10158.418299738747</v>
      </c>
      <c r="C8" s="59">
        <f>HLOOKUP($A8,'Annual Summaries'!$T$3:$AN$29,27,FALSE)</f>
        <v>4821.2631342930626</v>
      </c>
      <c r="D8" s="59">
        <f t="shared" si="0"/>
        <v>14979.681434031809</v>
      </c>
      <c r="E8" s="59">
        <f>-PMT('Annual Summaries'!$A$1,22,B8)</f>
        <v>881.39341764720098</v>
      </c>
      <c r="F8" s="59">
        <f>-PMT('Annual Summaries'!$A$1,22,C8)</f>
        <v>418.31606712043987</v>
      </c>
      <c r="G8" s="59">
        <f>-PMT('Annual Summaries'!$A$1,16,HLOOKUP($A8,'Annual Summaries'!$B$3:$T$36,34,FALSE))</f>
        <v>1010.5809036288856</v>
      </c>
      <c r="H8" s="59">
        <f>-PMT('Annual Summaries'!$A$1,16,HLOOKUP($A8,'Annual Summaries'!$T$3:$AN$36,34,FALSE))</f>
        <v>474.62886880127911</v>
      </c>
      <c r="I8" s="83">
        <f>HLOOKUP($A8,'Annual Summaries'!$B$39:$R$63,10,FALSE)</f>
        <v>0.13265834347180819</v>
      </c>
      <c r="J8" s="83">
        <f>HLOOKUP($A8,'Annual Summaries'!$B$39:$R$63,25,FALSE)</f>
        <v>0.2228832831258708</v>
      </c>
      <c r="K8" s="83">
        <f>HLOOKUP($A8,'Annual Summaries'!$T$39:$AJ$63,10,FALSE)</f>
        <v>0.11859328115315164</v>
      </c>
      <c r="L8" s="83">
        <f>HLOOKUP($A8,'Annual Summaries'!$T$39:$AJ$63,25,FALSE)</f>
        <v>0.18809055905351307</v>
      </c>
      <c r="M8" s="59">
        <f>VLOOKUP($A8&amp;"&amp;"&amp;2030,'Summary Data'!$A$4:$Y$580,12,FALSE)</f>
        <v>12.506160221478861</v>
      </c>
      <c r="N8" s="59">
        <f>+VLOOKUP($A8&amp;"&amp;"&amp;2030,'Summary Data'!$A$4:$Y$580,13,FALSE)</f>
        <v>9.0434865139901799</v>
      </c>
      <c r="O8" s="59">
        <f>VLOOKUP($A8&amp;"&amp;"&amp;2045,'Summary Data'!$A$4:$Y$580,12,FALSE)</f>
        <v>34.257070097812999</v>
      </c>
      <c r="P8" s="59">
        <f>VLOOKUP($A8&amp;"&amp;"&amp;2045,'Summary Data'!$A$4:$Y$580,13,FALSE)</f>
        <v>22.160665838446889</v>
      </c>
      <c r="Q8" s="59">
        <f>VLOOKUP($A8&amp;"&amp;"&amp;2045,'Summary Data'!$A$4:$Y$580,14,FALSE)</f>
        <v>62.654974095385299</v>
      </c>
      <c r="R8" s="59">
        <f>+VLOOKUP($A8&amp;"&amp;"&amp;2045,'Summary Data'!$A$4:$Y$580,15,FALSE)</f>
        <v>44.024194059198891</v>
      </c>
      <c r="S8" s="84">
        <f>HLOOKUP($A8,'Annual Summaries'!$B$96:$S$120,25,FALSE)</f>
        <v>0.159892515235</v>
      </c>
      <c r="V8" s="85">
        <f t="shared" si="2"/>
        <v>-4.760731497253342E-2</v>
      </c>
      <c r="W8" s="85">
        <f t="shared" si="3"/>
        <v>1.8890736836831581E-2</v>
      </c>
      <c r="Y8" s="81">
        <f t="shared" si="1"/>
        <v>14979.681434031809</v>
      </c>
    </row>
    <row r="9" spans="1:25" x14ac:dyDescent="0.25">
      <c r="A9" s="39" t="str">
        <f>'Scenario List'!A8</f>
        <v>6- WRAP PRM</v>
      </c>
      <c r="B9" s="59">
        <f>HLOOKUP($A9,'Annual Summaries'!$B$3:$R$29,27,FALSE)</f>
        <v>10217.187521777265</v>
      </c>
      <c r="C9" s="59">
        <f>HLOOKUP($A9,'Annual Summaries'!$T$3:$AN$29,27,FALSE)</f>
        <v>4777.9092324759658</v>
      </c>
      <c r="D9" s="59">
        <f t="shared" si="0"/>
        <v>14995.096754253231</v>
      </c>
      <c r="E9" s="59">
        <f>-PMT('Annual Summaries'!$A$1,22,B9)</f>
        <v>886.49251909553652</v>
      </c>
      <c r="F9" s="59">
        <f>-PMT('Annual Summaries'!$A$1,22,C9)</f>
        <v>414.55447328137791</v>
      </c>
      <c r="G9" s="59">
        <f>-PMT('Annual Summaries'!$A$1,16,HLOOKUP($A9,'Annual Summaries'!$B$3:$T$36,34,FALSE))</f>
        <v>1019.3430476408647</v>
      </c>
      <c r="H9" s="59">
        <f>-PMT('Annual Summaries'!$A$1,16,HLOOKUP($A9,'Annual Summaries'!$T$3:$AN$36,34,FALSE))</f>
        <v>468.13916298891041</v>
      </c>
      <c r="I9" s="83">
        <f>HLOOKUP($A9,'Annual Summaries'!$B$39:$R$63,10,FALSE)</f>
        <v>0.13270745335852285</v>
      </c>
      <c r="J9" s="83">
        <f>HLOOKUP($A9,'Annual Summaries'!$B$39:$R$63,25,FALSE)</f>
        <v>0.24197065133684836</v>
      </c>
      <c r="K9" s="83">
        <f>HLOOKUP($A9,'Annual Summaries'!$T$39:$AJ$63,10,FALSE)</f>
        <v>0.11860658273753902</v>
      </c>
      <c r="L9" s="83">
        <f>HLOOKUP($A9,'Annual Summaries'!$T$39:$AJ$63,25,FALSE)</f>
        <v>0.18555078866115138</v>
      </c>
      <c r="M9" s="59">
        <f>VLOOKUP($A9&amp;"&amp;"&amp;2030,'Summary Data'!$A$4:$Y$580,12,FALSE)</f>
        <v>12.474776463551638</v>
      </c>
      <c r="N9" s="59">
        <f>+VLOOKUP($A9&amp;"&amp;"&amp;2030,'Summary Data'!$A$4:$Y$580,13,FALSE)</f>
        <v>9.0406514837259344</v>
      </c>
      <c r="O9" s="59">
        <f>VLOOKUP($A9&amp;"&amp;"&amp;2045,'Summary Data'!$A$4:$Y$580,12,FALSE)</f>
        <v>23.368788546900223</v>
      </c>
      <c r="P9" s="59">
        <f>VLOOKUP($A9&amp;"&amp;"&amp;2045,'Summary Data'!$A$4:$Y$580,13,FALSE)</f>
        <v>24.085129002118645</v>
      </c>
      <c r="Q9" s="59">
        <f>VLOOKUP($A9&amp;"&amp;"&amp;2045,'Summary Data'!$A$4:$Y$580,14,FALSE)</f>
        <v>38.863129425333781</v>
      </c>
      <c r="R9" s="59">
        <f>+VLOOKUP($A9&amp;"&amp;"&amp;2045,'Summary Data'!$A$4:$Y$580,15,FALSE)</f>
        <v>44.892636565711641</v>
      </c>
      <c r="S9" s="84">
        <f>HLOOKUP($A9,'Annual Summaries'!$B$96:$S$120,25,FALSE)</f>
        <v>0.57662421016115184</v>
      </c>
      <c r="V9" s="85">
        <f t="shared" si="2"/>
        <v>3.3954072699123559E-2</v>
      </c>
      <c r="W9" s="85">
        <f t="shared" si="3"/>
        <v>5.1327442002445187E-3</v>
      </c>
      <c r="Y9" s="81">
        <f t="shared" si="1"/>
        <v>14995.096754253231</v>
      </c>
    </row>
    <row r="10" spans="1:25" x14ac:dyDescent="0.25">
      <c r="A10" s="39" t="str">
        <f>'Scenario List'!A9</f>
        <v>7- WRAP PRM No QCC Changes</v>
      </c>
      <c r="B10" s="59">
        <f>HLOOKUP($A10,'Annual Summaries'!$B$3:$R$29,27,FALSE)</f>
        <v>10126.065807935458</v>
      </c>
      <c r="C10" s="59">
        <f>HLOOKUP($A10,'Annual Summaries'!$T$3:$AN$29,27,FALSE)</f>
        <v>4763.4132972472171</v>
      </c>
      <c r="D10" s="59">
        <f t="shared" si="0"/>
        <v>14889.479105182676</v>
      </c>
      <c r="E10" s="59">
        <f>-PMT('Annual Summaries'!$A$1,22,B10)</f>
        <v>878.58635925695546</v>
      </c>
      <c r="F10" s="59">
        <f>-PMT('Annual Summaries'!$A$1,22,C10)</f>
        <v>413.29673595296055</v>
      </c>
      <c r="G10" s="59">
        <f>-PMT('Annual Summaries'!$A$1,16,HLOOKUP($A10,'Annual Summaries'!$B$3:$T$36,34,FALSE))</f>
        <v>1005.7060982613104</v>
      </c>
      <c r="H10" s="59">
        <f>-PMT('Annual Summaries'!$A$1,16,HLOOKUP($A10,'Annual Summaries'!$T$3:$AN$36,34,FALSE))</f>
        <v>465.97168400338995</v>
      </c>
      <c r="I10" s="83">
        <f>HLOOKUP($A10,'Annual Summaries'!$B$39:$R$63,10,FALSE)</f>
        <v>0.13277293699418885</v>
      </c>
      <c r="J10" s="83">
        <f>HLOOKUP($A10,'Annual Summaries'!$B$39:$R$63,25,FALSE)</f>
        <v>0.23343185468350577</v>
      </c>
      <c r="K10" s="83">
        <f>HLOOKUP($A10,'Annual Summaries'!$T$39:$AJ$63,10,FALSE)</f>
        <v>0.11861697974397351</v>
      </c>
      <c r="L10" s="83">
        <f>HLOOKUP($A10,'Annual Summaries'!$T$39:$AJ$63,25,FALSE)</f>
        <v>0.17924416770975352</v>
      </c>
      <c r="M10" s="59">
        <f>VLOOKUP($A10&amp;"&amp;"&amp;2030,'Summary Data'!$A$4:$Y$580,12,FALSE)</f>
        <v>12.459641501552136</v>
      </c>
      <c r="N10" s="59">
        <f>+VLOOKUP($A10&amp;"&amp;"&amp;2030,'Summary Data'!$A$4:$Y$580,13,FALSE)</f>
        <v>9.0387412124372979</v>
      </c>
      <c r="O10" s="59">
        <f>VLOOKUP($A10&amp;"&amp;"&amp;2045,'Summary Data'!$A$4:$Y$580,12,FALSE)</f>
        <v>20.382918786993525</v>
      </c>
      <c r="P10" s="59">
        <f>VLOOKUP($A10&amp;"&amp;"&amp;2045,'Summary Data'!$A$4:$Y$580,13,FALSE)</f>
        <v>23.879030706522975</v>
      </c>
      <c r="Q10" s="59">
        <f>VLOOKUP($A10&amp;"&amp;"&amp;2045,'Summary Data'!$A$4:$Y$580,14,FALSE)</f>
        <v>30.862770811844598</v>
      </c>
      <c r="R10" s="59">
        <f>+VLOOKUP($A10&amp;"&amp;"&amp;2045,'Summary Data'!$A$4:$Y$580,15,FALSE)</f>
        <v>45.94986402347979</v>
      </c>
      <c r="S10" s="84">
        <f>HLOOKUP($A10,'Annual Summaries'!$B$96:$S$120,25,FALSE)</f>
        <v>0.54381120102740121</v>
      </c>
      <c r="V10" s="85">
        <f t="shared" si="2"/>
        <v>-2.5326810740962892E-3</v>
      </c>
      <c r="W10" s="85">
        <f t="shared" si="3"/>
        <v>-2.9030361595470591E-2</v>
      </c>
      <c r="Y10" s="81">
        <f t="shared" si="1"/>
        <v>14889.479105182676</v>
      </c>
    </row>
    <row r="11" spans="1:25" x14ac:dyDescent="0.25">
      <c r="A11" s="39" t="str">
        <f>'Scenario List'!A10</f>
        <v>8- VERs Assigned to Washington</v>
      </c>
      <c r="B11" s="59">
        <f>HLOOKUP($A11,'Annual Summaries'!$B$3:$R$29,27,FALSE)</f>
        <v>10205.100128580674</v>
      </c>
      <c r="C11" s="59">
        <f>HLOOKUP($A11,'Annual Summaries'!$T$3:$AN$29,27,FALSE)</f>
        <v>4819.2489427298742</v>
      </c>
      <c r="D11" s="59">
        <f t="shared" si="0"/>
        <v>15024.349071310549</v>
      </c>
      <c r="E11" s="59">
        <f>-PMT('Annual Summaries'!$A$1,22,B11)</f>
        <v>885.44375850253527</v>
      </c>
      <c r="F11" s="59">
        <f>-PMT('Annual Summaries'!$A$1,22,C11)</f>
        <v>418.14130613567909</v>
      </c>
      <c r="G11" s="59">
        <f>-PMT('Annual Summaries'!$A$1,16,HLOOKUP($A11,'Annual Summaries'!$B$3:$T$36,34,FALSE))</f>
        <v>1017.173885896872</v>
      </c>
      <c r="H11" s="59">
        <f>-PMT('Annual Summaries'!$A$1,16,HLOOKUP($A11,'Annual Summaries'!$T$3:$AN$36,34,FALSE))</f>
        <v>471.49482502032379</v>
      </c>
      <c r="I11" s="83">
        <f>HLOOKUP($A11,'Annual Summaries'!$B$39:$R$63,10,FALSE)</f>
        <v>0.13289050031506686</v>
      </c>
      <c r="J11" s="83">
        <f>HLOOKUP($A11,'Annual Summaries'!$B$39:$R$63,25,FALSE)</f>
        <v>0.23354375234411018</v>
      </c>
      <c r="K11" s="83">
        <f>HLOOKUP($A11,'Annual Summaries'!$T$39:$AJ$63,10,FALSE)</f>
        <v>0.12038747127080057</v>
      </c>
      <c r="L11" s="83">
        <f>HLOOKUP($A11,'Annual Summaries'!$T$39:$AJ$63,25,FALSE)</f>
        <v>0.18374193116994875</v>
      </c>
      <c r="M11" s="59">
        <f>VLOOKUP($A11&amp;"&amp;"&amp;2030,'Summary Data'!$A$4:$Y$580,12,FALSE)</f>
        <v>12.46461189229297</v>
      </c>
      <c r="N11" s="59">
        <f>+VLOOKUP($A11&amp;"&amp;"&amp;2030,'Summary Data'!$A$4:$Y$580,13,FALSE)</f>
        <v>8.8718202885586823</v>
      </c>
      <c r="O11" s="59">
        <f>VLOOKUP($A11&amp;"&amp;"&amp;2045,'Summary Data'!$A$4:$Y$580,12,FALSE)</f>
        <v>21.14063139502441</v>
      </c>
      <c r="P11" s="59">
        <f>VLOOKUP($A11&amp;"&amp;"&amp;2045,'Summary Data'!$A$4:$Y$580,13,FALSE)</f>
        <v>23.952805454063316</v>
      </c>
      <c r="Q11" s="59">
        <f>VLOOKUP($A11&amp;"&amp;"&amp;2045,'Summary Data'!$A$4:$Y$580,14,FALSE)</f>
        <v>39.515624476897187</v>
      </c>
      <c r="R11" s="59">
        <f>+VLOOKUP($A11&amp;"&amp;"&amp;2045,'Summary Data'!$A$4:$Y$580,15,FALSE)</f>
        <v>45.075142669607715</v>
      </c>
      <c r="S11" s="84">
        <f>HLOOKUP($A11,'Annual Summaries'!$B$96:$S$120,25,FALSE)</f>
        <v>0.57997833399660692</v>
      </c>
      <c r="V11" s="85">
        <f t="shared" si="2"/>
        <v>-2.0545361368147605E-3</v>
      </c>
      <c r="W11" s="85">
        <f t="shared" si="3"/>
        <v>-4.6658770134864538E-3</v>
      </c>
      <c r="Y11" s="81">
        <f t="shared" si="1"/>
        <v>15024.349071310549</v>
      </c>
    </row>
    <row r="12" spans="1:25" x14ac:dyDescent="0.25">
      <c r="A12" s="39" t="str">
        <f>'Scenario List'!A11</f>
        <v>9- Low Economic Growth Loads</v>
      </c>
      <c r="B12" s="59">
        <f>HLOOKUP($A12,'Annual Summaries'!$B$3:$R$29,27,FALSE)</f>
        <v>10118.85011364489</v>
      </c>
      <c r="C12" s="59">
        <f>HLOOKUP($A12,'Annual Summaries'!$T$3:$AN$29,27,FALSE)</f>
        <v>4697.0626513287243</v>
      </c>
      <c r="D12" s="59">
        <f t="shared" si="0"/>
        <v>14815.912764973615</v>
      </c>
      <c r="E12" s="59">
        <f>-PMT('Annual Summaries'!$A$1,22,B12)</f>
        <v>877.96029078213951</v>
      </c>
      <c r="F12" s="59">
        <f>-PMT('Annual Summaries'!$A$1,22,C12)</f>
        <v>407.53983356484923</v>
      </c>
      <c r="G12" s="59">
        <f>-PMT('Annual Summaries'!$A$1,16,HLOOKUP($A12,'Annual Summaries'!$B$3:$T$36,34,FALSE))</f>
        <v>1005.2559531197253</v>
      </c>
      <c r="H12" s="59">
        <f>-PMT('Annual Summaries'!$A$1,16,HLOOKUP($A12,'Annual Summaries'!$T$3:$AN$36,34,FALSE))</f>
        <v>456.39687108478722</v>
      </c>
      <c r="I12" s="83">
        <f>HLOOKUP($A12,'Annual Summaries'!$B$39:$R$63,10,FALSE)</f>
        <v>0.13402538367099676</v>
      </c>
      <c r="J12" s="83">
        <f>HLOOKUP($A12,'Annual Summaries'!$B$39:$R$63,25,FALSE)</f>
        <v>0.24345501600713038</v>
      </c>
      <c r="K12" s="83">
        <f>HLOOKUP($A12,'Annual Summaries'!$T$39:$AJ$63,10,FALSE)</f>
        <v>0.12033119799256345</v>
      </c>
      <c r="L12" s="83">
        <f>HLOOKUP($A12,'Annual Summaries'!$T$39:$AJ$63,25,FALSE)</f>
        <v>0.19193893864633696</v>
      </c>
      <c r="M12" s="59">
        <f>VLOOKUP($A12&amp;"&amp;"&amp;2030,'Summary Data'!$A$4:$Y$580,12,FALSE)</f>
        <v>12.011359894532506</v>
      </c>
      <c r="N12" s="59">
        <f>+VLOOKUP($A12&amp;"&amp;"&amp;2030,'Summary Data'!$A$4:$Y$580,13,FALSE)</f>
        <v>8.5718786912985685</v>
      </c>
      <c r="O12" s="59">
        <f>VLOOKUP($A12&amp;"&amp;"&amp;2045,'Summary Data'!$A$4:$Y$580,12,FALSE)</f>
        <v>21.888080540060198</v>
      </c>
      <c r="P12" s="59">
        <f>VLOOKUP($A12&amp;"&amp;"&amp;2045,'Summary Data'!$A$4:$Y$580,13,FALSE)</f>
        <v>19.197911155463437</v>
      </c>
      <c r="Q12" s="59">
        <f>VLOOKUP($A12&amp;"&amp;"&amp;2045,'Summary Data'!$A$4:$Y$580,14,FALSE)</f>
        <v>35.82871507565909</v>
      </c>
      <c r="R12" s="59">
        <f>+VLOOKUP($A12&amp;"&amp;"&amp;2045,'Summary Data'!$A$4:$Y$580,15,FALSE)</f>
        <v>38.513034419320192</v>
      </c>
      <c r="S12" s="84">
        <f>HLOOKUP($A12,'Annual Summaries'!$B$96:$S$120,25,FALSE)</f>
        <v>0.46777336104638978</v>
      </c>
      <c r="V12" s="85">
        <f t="shared" si="2"/>
        <v>4.0296845625217917E-2</v>
      </c>
      <c r="W12" s="85">
        <f t="shared" si="3"/>
        <v>3.973749458316047E-2</v>
      </c>
      <c r="Y12" s="81">
        <f t="shared" si="1"/>
        <v>14815.912764973615</v>
      </c>
    </row>
    <row r="13" spans="1:25" x14ac:dyDescent="0.25">
      <c r="A13" s="39" t="str">
        <f>'Scenario List'!A12</f>
        <v>10- High Economic Growth Loads</v>
      </c>
      <c r="B13" s="59">
        <f>HLOOKUP($A13,'Annual Summaries'!$B$3:$R$29,27,FALSE)</f>
        <v>10279.441525823078</v>
      </c>
      <c r="C13" s="59">
        <f>HLOOKUP($A13,'Annual Summaries'!$T$3:$AN$29,27,FALSE)</f>
        <v>4868.2070862180908</v>
      </c>
      <c r="D13" s="59">
        <f t="shared" si="0"/>
        <v>15147.648612041168</v>
      </c>
      <c r="E13" s="59">
        <f>-PMT('Annual Summaries'!$A$1,22,B13)</f>
        <v>891.89397705573617</v>
      </c>
      <c r="F13" s="59">
        <f>-PMT('Annual Summaries'!$A$1,22,C13)</f>
        <v>422.38915104002314</v>
      </c>
      <c r="G13" s="59">
        <f>-PMT('Annual Summaries'!$A$1,16,HLOOKUP($A13,'Annual Summaries'!$B$3:$T$36,34,FALSE))</f>
        <v>1028.6715762389945</v>
      </c>
      <c r="H13" s="59">
        <f>-PMT('Annual Summaries'!$A$1,16,HLOOKUP($A13,'Annual Summaries'!$T$3:$AN$36,34,FALSE))</f>
        <v>481.2230877662152</v>
      </c>
      <c r="I13" s="83">
        <f>HLOOKUP($A13,'Annual Summaries'!$B$39:$R$63,10,FALSE)</f>
        <v>0.13224329435035129</v>
      </c>
      <c r="J13" s="83">
        <f>HLOOKUP($A13,'Annual Summaries'!$B$39:$R$63,25,FALSE)</f>
        <v>0.23317707226319012</v>
      </c>
      <c r="K13" s="83">
        <f>HLOOKUP($A13,'Annual Summaries'!$T$39:$AJ$63,10,FALSE)</f>
        <v>0.11697764060504585</v>
      </c>
      <c r="L13" s="83">
        <f>HLOOKUP($A13,'Annual Summaries'!$T$39:$AJ$63,25,FALSE)</f>
        <v>0.17558613906550938</v>
      </c>
      <c r="M13" s="59">
        <f>VLOOKUP($A13&amp;"&amp;"&amp;2030,'Summary Data'!$A$4:$Y$580,12,FALSE)</f>
        <v>12.634785251113454</v>
      </c>
      <c r="N13" s="59">
        <f>+VLOOKUP($A13&amp;"&amp;"&amp;2030,'Summary Data'!$A$4:$Y$580,13,FALSE)</f>
        <v>9.5549114636531662</v>
      </c>
      <c r="O13" s="59">
        <f>VLOOKUP($A13&amp;"&amp;"&amp;2045,'Summary Data'!$A$4:$Y$580,12,FALSE)</f>
        <v>21.464638041753364</v>
      </c>
      <c r="P13" s="59">
        <f>VLOOKUP($A13&amp;"&amp;"&amp;2045,'Summary Data'!$A$4:$Y$580,13,FALSE)</f>
        <v>27.072185667707586</v>
      </c>
      <c r="Q13" s="59">
        <f>VLOOKUP($A13&amp;"&amp;"&amp;2045,'Summary Data'!$A$4:$Y$580,14,FALSE)</f>
        <v>37.814493628537306</v>
      </c>
      <c r="R13" s="59">
        <f>+VLOOKUP($A13&amp;"&amp;"&amp;2045,'Summary Data'!$A$4:$Y$580,15,FALSE)</f>
        <v>50.3181394766831</v>
      </c>
      <c r="S13" s="84">
        <f>HLOOKUP($A13,'Annual Summaries'!$B$96:$S$120,25,FALSE)</f>
        <v>0.63045428592155606</v>
      </c>
      <c r="V13" s="85">
        <f t="shared" si="2"/>
        <v>-3.6213805493511705E-3</v>
      </c>
      <c r="W13" s="85">
        <f t="shared" si="3"/>
        <v>-4.8845984024684333E-2</v>
      </c>
      <c r="Y13" s="81">
        <f t="shared" si="1"/>
        <v>15147.648612041168</v>
      </c>
    </row>
    <row r="14" spans="1:25" x14ac:dyDescent="0.25">
      <c r="A14" s="39" t="str">
        <f>'Scenario List'!A13</f>
        <v>11- High Electric Vehicle Growth</v>
      </c>
      <c r="B14" s="59">
        <f>HLOOKUP($A14,'Annual Summaries'!$B$3:$R$29,27,FALSE)</f>
        <v>10541.422846332467</v>
      </c>
      <c r="C14" s="59">
        <f>HLOOKUP($A14,'Annual Summaries'!$T$3:$AN$29,27,FALSE)</f>
        <v>4812.1486789307301</v>
      </c>
      <c r="D14" s="59">
        <f t="shared" si="0"/>
        <v>15353.571525263196</v>
      </c>
      <c r="E14" s="59">
        <f>-PMT('Annual Summaries'!$A$1,22,B14)</f>
        <v>914.62474129778707</v>
      </c>
      <c r="F14" s="59">
        <f>-PMT('Annual Summaries'!$A$1,22,C14)</f>
        <v>417.52525296761007</v>
      </c>
      <c r="G14" s="59">
        <f>-PMT('Annual Summaries'!$A$1,16,HLOOKUP($A14,'Annual Summaries'!$B$3:$T$36,34,FALSE))</f>
        <v>1067.850818447313</v>
      </c>
      <c r="H14" s="59">
        <f>-PMT('Annual Summaries'!$A$1,16,HLOOKUP($A14,'Annual Summaries'!$T$3:$AN$36,34,FALSE))</f>
        <v>473.29511604797631</v>
      </c>
      <c r="I14" s="83">
        <f>HLOOKUP($A14,'Annual Summaries'!$B$39:$R$63,10,FALSE)</f>
        <v>0.13265766227246034</v>
      </c>
      <c r="J14" s="83">
        <f>HLOOKUP($A14,'Annual Summaries'!$B$39:$R$63,25,FALSE)</f>
        <v>0.22702652928590714</v>
      </c>
      <c r="K14" s="83">
        <f>HLOOKUP($A14,'Annual Summaries'!$T$39:$AJ$63,10,FALSE)</f>
        <v>0.11859869831656702</v>
      </c>
      <c r="L14" s="83">
        <f>HLOOKUP($A14,'Annual Summaries'!$T$39:$AJ$63,25,FALSE)</f>
        <v>0.18560142987365294</v>
      </c>
      <c r="M14" s="59">
        <f>VLOOKUP($A14&amp;"&amp;"&amp;2030,'Summary Data'!$A$4:$Y$580,12,FALSE)</f>
        <v>12.473719901978173</v>
      </c>
      <c r="N14" s="59">
        <f>+VLOOKUP($A14&amp;"&amp;"&amp;2030,'Summary Data'!$A$4:$Y$580,13,FALSE)</f>
        <v>9.0250300816955722</v>
      </c>
      <c r="O14" s="59">
        <f>VLOOKUP($A14&amp;"&amp;"&amp;2045,'Summary Data'!$A$4:$Y$580,12,FALSE)</f>
        <v>26.689705090206029</v>
      </c>
      <c r="P14" s="59">
        <f>VLOOKUP($A14&amp;"&amp;"&amp;2045,'Summary Data'!$A$4:$Y$580,13,FALSE)</f>
        <v>23.695345720924401</v>
      </c>
      <c r="Q14" s="59">
        <f>VLOOKUP($A14&amp;"&amp;"&amp;2045,'Summary Data'!$A$4:$Y$580,14,FALSE)</f>
        <v>44.701979594542443</v>
      </c>
      <c r="R14" s="59">
        <f>+VLOOKUP($A14&amp;"&amp;"&amp;2045,'Summary Data'!$A$4:$Y$580,15,FALSE)</f>
        <v>44.790216447937908</v>
      </c>
      <c r="S14" s="84">
        <f>HLOOKUP($A14,'Annual Summaries'!$B$96:$S$120,25,FALSE)</f>
        <v>0.55708438269404459</v>
      </c>
      <c r="V14" s="85">
        <f t="shared" si="2"/>
        <v>-2.9902993321553935E-2</v>
      </c>
      <c r="W14" s="85">
        <f t="shared" si="3"/>
        <v>5.4070687733632963E-3</v>
      </c>
      <c r="Y14" s="81">
        <f t="shared" si="1"/>
        <v>15353.571525263196</v>
      </c>
    </row>
    <row r="15" spans="1:25" x14ac:dyDescent="0.25">
      <c r="A15" s="39" t="str">
        <f>'Scenario List'!A14</f>
        <v>12- WA Space/ Water Electrification</v>
      </c>
      <c r="B15" s="59">
        <f>HLOOKUP($A15,'Annual Summaries'!$B$3:$R$29,27,FALSE)</f>
        <v>11283.172968469011</v>
      </c>
      <c r="C15" s="59">
        <f>HLOOKUP($A15,'Annual Summaries'!$T$3:$AN$29,27,FALSE)</f>
        <v>4842.5936389809376</v>
      </c>
      <c r="D15" s="59">
        <f t="shared" si="0"/>
        <v>16125.766607449948</v>
      </c>
      <c r="E15" s="59">
        <f>-PMT('Annual Summaries'!$A$1,22,B15)</f>
        <v>978.98256314560092</v>
      </c>
      <c r="F15" s="59">
        <f>-PMT('Annual Summaries'!$A$1,22,C15)</f>
        <v>420.16680469318476</v>
      </c>
      <c r="G15" s="59">
        <f>-PMT('Annual Summaries'!$A$1,16,HLOOKUP($A15,'Annual Summaries'!$B$3:$T$36,34,FALSE))</f>
        <v>1177.2295960048523</v>
      </c>
      <c r="H15" s="59">
        <f>-PMT('Annual Summaries'!$A$1,16,HLOOKUP($A15,'Annual Summaries'!$T$3:$AN$36,34,FALSE))</f>
        <v>477.77449115930011</v>
      </c>
      <c r="I15" s="83">
        <f>HLOOKUP($A15,'Annual Summaries'!$B$39:$R$63,10,FALSE)</f>
        <v>0.13094044938916483</v>
      </c>
      <c r="J15" s="83">
        <f>HLOOKUP($A15,'Annual Summaries'!$B$39:$R$63,25,FALSE)</f>
        <v>0.25937757140777984</v>
      </c>
      <c r="K15" s="83">
        <f>HLOOKUP($A15,'Annual Summaries'!$T$39:$AJ$63,10,FALSE)</f>
        <v>0.11864619311180785</v>
      </c>
      <c r="L15" s="83">
        <f>HLOOKUP($A15,'Annual Summaries'!$T$39:$AJ$63,25,FALSE)</f>
        <v>0.19506363244461991</v>
      </c>
      <c r="M15" s="59">
        <f>VLOOKUP($A15&amp;"&amp;"&amp;2030,'Summary Data'!$A$4:$Y$580,12,FALSE)</f>
        <v>12.842726922716396</v>
      </c>
      <c r="N15" s="59">
        <f>+VLOOKUP($A15&amp;"&amp;"&amp;2030,'Summary Data'!$A$4:$Y$580,13,FALSE)</f>
        <v>9.0415191858302855</v>
      </c>
      <c r="O15" s="59">
        <f>VLOOKUP($A15&amp;"&amp;"&amp;2045,'Summary Data'!$A$4:$Y$580,12,FALSE)</f>
        <v>44.051316280201654</v>
      </c>
      <c r="P15" s="59">
        <f>VLOOKUP($A15&amp;"&amp;"&amp;2045,'Summary Data'!$A$4:$Y$580,13,FALSE)</f>
        <v>22.902008576001066</v>
      </c>
      <c r="Q15" s="59">
        <f>VLOOKUP($A15&amp;"&amp;"&amp;2045,'Summary Data'!$A$4:$Y$580,14,FALSE)</f>
        <v>57.893531524125947</v>
      </c>
      <c r="R15" s="59">
        <f>+VLOOKUP($A15&amp;"&amp;"&amp;2045,'Summary Data'!$A$4:$Y$580,15,FALSE)</f>
        <v>44.313348986434931</v>
      </c>
      <c r="S15" s="84">
        <f>HLOOKUP($A15,'Annual Summaries'!$B$96:$S$120,25,FALSE)</f>
        <v>0.52096860799196398</v>
      </c>
      <c r="V15" s="85">
        <f t="shared" si="2"/>
        <v>0.10833481185509949</v>
      </c>
      <c r="W15" s="85">
        <f t="shared" si="3"/>
        <v>5.666403030373432E-2</v>
      </c>
      <c r="Y15" s="81">
        <f t="shared" si="1"/>
        <v>16125.766607449948</v>
      </c>
    </row>
    <row r="16" spans="1:25" x14ac:dyDescent="0.25">
      <c r="A16" s="39" t="str">
        <f>'Scenario List'!A15</f>
        <v>13- WA Space/ Water Electrification w/NG Backup</v>
      </c>
      <c r="B16" s="59">
        <f>HLOOKUP($A16,'Annual Summaries'!$B$3:$R$29,27,FALSE)</f>
        <v>10786.817552719411</v>
      </c>
      <c r="C16" s="59">
        <f>HLOOKUP($A16,'Annual Summaries'!$T$3:$AN$29,27,FALSE)</f>
        <v>4799.5925930641852</v>
      </c>
      <c r="D16" s="59">
        <f t="shared" si="0"/>
        <v>15586.410145783597</v>
      </c>
      <c r="E16" s="59">
        <f>-PMT('Annual Summaries'!$A$1,22,B16)</f>
        <v>935.91637081657575</v>
      </c>
      <c r="F16" s="59">
        <f>-PMT('Annual Summaries'!$A$1,22,C16)</f>
        <v>416.43582633566376</v>
      </c>
      <c r="G16" s="59">
        <f>-PMT('Annual Summaries'!$A$1,16,HLOOKUP($A16,'Annual Summaries'!$B$3:$T$36,34,FALSE))</f>
        <v>1103.7556827390981</v>
      </c>
      <c r="H16" s="59">
        <f>-PMT('Annual Summaries'!$A$1,16,HLOOKUP($A16,'Annual Summaries'!$T$3:$AN$36,34,FALSE))</f>
        <v>471.35468282933465</v>
      </c>
      <c r="I16" s="83">
        <f>HLOOKUP($A16,'Annual Summaries'!$B$39:$R$63,10,FALSE)</f>
        <v>0.13156771699963268</v>
      </c>
      <c r="J16" s="83">
        <f>HLOOKUP($A16,'Annual Summaries'!$B$39:$R$63,25,FALSE)</f>
        <v>0.24357133085008276</v>
      </c>
      <c r="K16" s="83">
        <f>HLOOKUP($A16,'Annual Summaries'!$T$39:$AJ$63,10,FALSE)</f>
        <v>0.11874030756882568</v>
      </c>
      <c r="L16" s="83">
        <f>HLOOKUP($A16,'Annual Summaries'!$T$39:$AJ$63,25,FALSE)</f>
        <v>0.19404108934597813</v>
      </c>
      <c r="M16" s="59">
        <f>VLOOKUP($A16&amp;"&amp;"&amp;2030,'Summary Data'!$A$4:$Y$580,12,FALSE)</f>
        <v>12.962892280790898</v>
      </c>
      <c r="N16" s="59">
        <f>+VLOOKUP($A16&amp;"&amp;"&amp;2030,'Summary Data'!$A$4:$Y$580,13,FALSE)</f>
        <v>9.0186437705819582</v>
      </c>
      <c r="O16" s="59">
        <f>VLOOKUP($A16&amp;"&amp;"&amp;2045,'Summary Data'!$A$4:$Y$580,12,FALSE)</f>
        <v>31.071412967548504</v>
      </c>
      <c r="P16" s="59">
        <f>VLOOKUP($A16&amp;"&amp;"&amp;2045,'Summary Data'!$A$4:$Y$580,13,FALSE)</f>
        <v>21.911785875049908</v>
      </c>
      <c r="Q16" s="59">
        <f>VLOOKUP($A16&amp;"&amp;"&amp;2045,'Summary Data'!$A$4:$Y$580,14,FALSE)</f>
        <v>47.754191462048674</v>
      </c>
      <c r="R16" s="59">
        <f>+VLOOKUP($A16&amp;"&amp;"&amp;2045,'Summary Data'!$A$4:$Y$580,15,FALSE)</f>
        <v>42.608462762672247</v>
      </c>
      <c r="S16" s="84">
        <f>HLOOKUP($A16,'Annual Summaries'!$B$96:$S$120,25,FALSE)</f>
        <v>0.52686626434900963</v>
      </c>
      <c r="V16" s="85">
        <f t="shared" si="2"/>
        <v>4.0793865428741742E-2</v>
      </c>
      <c r="W16" s="85">
        <f t="shared" si="3"/>
        <v>5.1124891622530658E-2</v>
      </c>
      <c r="Y16" s="81">
        <f t="shared" si="1"/>
        <v>15586.410145783597</v>
      </c>
    </row>
    <row r="17" spans="1:25" x14ac:dyDescent="0.25">
      <c r="A17" s="39" t="str">
        <f>'Scenario List'!A16</f>
        <v>14- Combined Electrification</v>
      </c>
      <c r="B17" s="59">
        <f>HLOOKUP($A17,'Annual Summaries'!$B$3:$R$29,27,FALSE)</f>
        <v>11654.610545718137</v>
      </c>
      <c r="C17" s="59">
        <f>HLOOKUP($A17,'Annual Summaries'!$T$3:$AN$29,27,FALSE)</f>
        <v>4878.5961933829267</v>
      </c>
      <c r="D17" s="59">
        <f t="shared" si="0"/>
        <v>16533.206739101064</v>
      </c>
      <c r="E17" s="59">
        <f>-PMT('Annual Summaries'!$A$1,22,B17)</f>
        <v>1011.2102806892486</v>
      </c>
      <c r="F17" s="59">
        <f>-PMT('Annual Summaries'!$A$1,22,C17)</f>
        <v>423.29056013739739</v>
      </c>
      <c r="G17" s="59">
        <f>-PMT('Annual Summaries'!$A$1,16,HLOOKUP($A17,'Annual Summaries'!$B$3:$T$36,34,FALSE))</f>
        <v>1232.937246065743</v>
      </c>
      <c r="H17" s="59">
        <f>-PMT('Annual Summaries'!$A$1,16,HLOOKUP($A17,'Annual Summaries'!$T$3:$AN$36,34,FALSE))</f>
        <v>483.13612049719274</v>
      </c>
      <c r="I17" s="83">
        <f>HLOOKUP($A17,'Annual Summaries'!$B$39:$R$63,10,FALSE)</f>
        <v>0.13149048608405847</v>
      </c>
      <c r="J17" s="83">
        <f>HLOOKUP($A17,'Annual Summaries'!$B$39:$R$63,25,FALSE)</f>
        <v>0.27260001890822932</v>
      </c>
      <c r="K17" s="83">
        <f>HLOOKUP($A17,'Annual Summaries'!$T$39:$AJ$63,10,FALSE)</f>
        <v>0.11881697788569318</v>
      </c>
      <c r="L17" s="83">
        <f>HLOOKUP($A17,'Annual Summaries'!$T$39:$AJ$63,25,FALSE)</f>
        <v>0.19535094624583896</v>
      </c>
      <c r="M17" s="59">
        <f>VLOOKUP($A17&amp;"&amp;"&amp;2030,'Summary Data'!$A$4:$Y$580,12,FALSE)</f>
        <v>12.665776511302104</v>
      </c>
      <c r="N17" s="59">
        <f>+VLOOKUP($A17&amp;"&amp;"&amp;2030,'Summary Data'!$A$4:$Y$580,13,FALSE)</f>
        <v>9.0116218682485716</v>
      </c>
      <c r="O17" s="59">
        <f>VLOOKUP($A17&amp;"&amp;"&amp;2045,'Summary Data'!$A$4:$Y$580,12,FALSE)</f>
        <v>56.234599435024172</v>
      </c>
      <c r="P17" s="59">
        <f>VLOOKUP($A17&amp;"&amp;"&amp;2045,'Summary Data'!$A$4:$Y$580,13,FALSE)</f>
        <v>24.63456740120829</v>
      </c>
      <c r="Q17" s="59">
        <f>VLOOKUP($A17&amp;"&amp;"&amp;2045,'Summary Data'!$A$4:$Y$580,14,FALSE)</f>
        <v>74.951659413887128</v>
      </c>
      <c r="R17" s="59">
        <f>+VLOOKUP($A17&amp;"&amp;"&amp;2045,'Summary Data'!$A$4:$Y$580,15,FALSE)</f>
        <v>48.149980393946706</v>
      </c>
      <c r="S17" s="84">
        <f>HLOOKUP($A17,'Annual Summaries'!$B$96:$S$120,25,FALSE)</f>
        <v>0.54238418225718488</v>
      </c>
      <c r="V17" s="85">
        <f t="shared" si="2"/>
        <v>0.16483506661164876</v>
      </c>
      <c r="W17" s="85">
        <f t="shared" si="3"/>
        <v>5.8220415547632604E-2</v>
      </c>
      <c r="Y17" s="81">
        <f t="shared" si="1"/>
        <v>16533.206739101064</v>
      </c>
    </row>
    <row r="18" spans="1:25" x14ac:dyDescent="0.25">
      <c r="A18" s="39" t="str">
        <f>'Scenario List'!A17</f>
        <v>15- Clean Portfolio by 2045</v>
      </c>
      <c r="B18" s="59">
        <f>HLOOKUP($A18,'Annual Summaries'!$B$3:$R$29,27,FALSE)</f>
        <v>10227.159624866797</v>
      </c>
      <c r="C18" s="59">
        <f>HLOOKUP($A18,'Annual Summaries'!$T$3:$AN$29,27,FALSE)</f>
        <v>4902.4247782809198</v>
      </c>
      <c r="D18" s="59">
        <f t="shared" si="0"/>
        <v>15129.584403147717</v>
      </c>
      <c r="E18" s="59">
        <f>-PMT('Annual Summaries'!$A$1,22,B18)</f>
        <v>887.3577469059959</v>
      </c>
      <c r="F18" s="59">
        <f>-PMT('Annual Summaries'!$A$1,22,C18)</f>
        <v>425.35804321017844</v>
      </c>
      <c r="G18" s="59">
        <f>-PMT('Annual Summaries'!$A$1,16,HLOOKUP($A18,'Annual Summaries'!$B$3:$T$36,34,FALSE))</f>
        <v>1020.8104973399414</v>
      </c>
      <c r="H18" s="59">
        <f>-PMT('Annual Summaries'!$A$1,16,HLOOKUP($A18,'Annual Summaries'!$T$3:$AN$36,34,FALSE))</f>
        <v>486.73233916145568</v>
      </c>
      <c r="I18" s="83">
        <f>HLOOKUP($A18,'Annual Summaries'!$B$39:$R$63,10,FALSE)</f>
        <v>0.13277394522340563</v>
      </c>
      <c r="J18" s="83">
        <f>HLOOKUP($A18,'Annual Summaries'!$B$39:$R$63,25,FALSE)</f>
        <v>0.24008834157082209</v>
      </c>
      <c r="K18" s="83">
        <f>HLOOKUP($A18,'Annual Summaries'!$T$39:$AJ$63,10,FALSE)</f>
        <v>0.11899074422762175</v>
      </c>
      <c r="L18" s="83">
        <f>HLOOKUP($A18,'Annual Summaries'!$T$39:$AJ$63,25,FALSE)</f>
        <v>0.25887415396330338</v>
      </c>
      <c r="M18" s="59">
        <f>VLOOKUP($A18&amp;"&amp;"&amp;2030,'Summary Data'!$A$4:$Y$580,12,FALSE)</f>
        <v>12.460396635449779</v>
      </c>
      <c r="N18" s="59">
        <f>+VLOOKUP($A18&amp;"&amp;"&amp;2030,'Summary Data'!$A$4:$Y$580,13,FALSE)</f>
        <v>8.9831837464287112</v>
      </c>
      <c r="O18" s="59">
        <f>VLOOKUP($A18&amp;"&amp;"&amp;2045,'Summary Data'!$A$4:$Y$580,12,FALSE)</f>
        <v>19.813994321795565</v>
      </c>
      <c r="P18" s="59">
        <f>VLOOKUP($A18&amp;"&amp;"&amp;2045,'Summary Data'!$A$4:$Y$580,13,FALSE)</f>
        <v>13.036676238127482</v>
      </c>
      <c r="Q18" s="59">
        <f>VLOOKUP($A18&amp;"&amp;"&amp;2045,'Summary Data'!$A$4:$Y$580,14,FALSE)</f>
        <v>34.806208691724464</v>
      </c>
      <c r="R18" s="59">
        <f>+VLOOKUP($A18&amp;"&amp;"&amp;2045,'Summary Data'!$A$4:$Y$580,15,FALSE)</f>
        <v>24.051958587291139</v>
      </c>
      <c r="S18" s="84">
        <f>HLOOKUP($A18,'Annual Summaries'!$B$96:$S$120,25,FALSE)</f>
        <v>0</v>
      </c>
      <c r="V18" s="85">
        <f t="shared" si="2"/>
        <v>2.591085821045877E-2</v>
      </c>
      <c r="W18" s="85">
        <f t="shared" si="3"/>
        <v>0.40232704292531096</v>
      </c>
      <c r="Y18" s="81">
        <f t="shared" si="1"/>
        <v>15129.584403147717</v>
      </c>
    </row>
    <row r="19" spans="1:25" x14ac:dyDescent="0.25">
      <c r="A19" s="39" t="str">
        <f>'Scenario List'!A18</f>
        <v>16- Social Cost Included for Idaho</v>
      </c>
      <c r="B19" s="59">
        <f>HLOOKUP($A19,'Annual Summaries'!$B$3:$R$29,27,FALSE)</f>
        <v>10219.445729866309</v>
      </c>
      <c r="C19" s="59">
        <f>HLOOKUP($A19,'Annual Summaries'!$T$3:$AN$29,27,FALSE)</f>
        <v>4801.1606536756362</v>
      </c>
      <c r="D19" s="59">
        <f t="shared" si="0"/>
        <v>15020.606383541945</v>
      </c>
      <c r="E19" s="59">
        <f>-PMT('Annual Summaries'!$A$1,22,B19)</f>
        <v>886.68845213221925</v>
      </c>
      <c r="F19" s="59">
        <f>-PMT('Annual Summaries'!$A$1,22,C19)</f>
        <v>416.57187884508255</v>
      </c>
      <c r="G19" s="59">
        <f>-PMT('Annual Summaries'!$A$1,16,HLOOKUP($A19,'Annual Summaries'!$B$3:$T$36,34,FALSE))</f>
        <v>1018.6036423014053</v>
      </c>
      <c r="H19" s="59">
        <f>-PMT('Annual Summaries'!$A$1,16,HLOOKUP($A19,'Annual Summaries'!$T$3:$AN$36,34,FALSE))</f>
        <v>472.79186224628319</v>
      </c>
      <c r="I19" s="83">
        <f>HLOOKUP($A19,'Annual Summaries'!$B$39:$R$63,10,FALSE)</f>
        <v>0.13278462711138045</v>
      </c>
      <c r="J19" s="83">
        <f>HLOOKUP($A19,'Annual Summaries'!$B$39:$R$63,25,FALSE)</f>
        <v>0.23536266277583834</v>
      </c>
      <c r="K19" s="83">
        <f>HLOOKUP($A19,'Annual Summaries'!$T$39:$AJ$63,10,FALSE)</f>
        <v>0.11838707972156524</v>
      </c>
      <c r="L19" s="83">
        <f>HLOOKUP($A19,'Annual Summaries'!$T$39:$AJ$63,25,FALSE)</f>
        <v>0.18790292382846582</v>
      </c>
      <c r="M19" s="59">
        <f>VLOOKUP($A19&amp;"&amp;"&amp;2030,'Summary Data'!$A$4:$Y$580,12,FALSE)</f>
        <v>12.488223954078791</v>
      </c>
      <c r="N19" s="59">
        <f>+VLOOKUP($A19&amp;"&amp;"&amp;2030,'Summary Data'!$A$4:$Y$580,13,FALSE)</f>
        <v>9.0347227538524493</v>
      </c>
      <c r="O19" s="59">
        <f>VLOOKUP($A19&amp;"&amp;"&amp;2045,'Summary Data'!$A$4:$Y$580,12,FALSE)</f>
        <v>20.430990996093769</v>
      </c>
      <c r="P19" s="59">
        <f>VLOOKUP($A19&amp;"&amp;"&amp;2045,'Summary Data'!$A$4:$Y$580,13,FALSE)</f>
        <v>21.65579191499749</v>
      </c>
      <c r="Q19" s="59">
        <f>VLOOKUP($A19&amp;"&amp;"&amp;2045,'Summary Data'!$A$4:$Y$580,14,FALSE)</f>
        <v>35.445514553081026</v>
      </c>
      <c r="R19" s="59">
        <f>+VLOOKUP($A19&amp;"&amp;"&amp;2045,'Summary Data'!$A$4:$Y$580,15,FALSE)</f>
        <v>41.496410343742113</v>
      </c>
      <c r="S19" s="84">
        <f>HLOOKUP($A19,'Annual Summaries'!$B$96:$S$120,25,FALSE)</f>
        <v>0.43934749317180632</v>
      </c>
      <c r="V19" s="85">
        <f t="shared" ref="V19" si="4">(J19-J$4)/J$4</f>
        <v>5.717769464587138E-3</v>
      </c>
      <c r="W19" s="85">
        <f t="shared" ref="W19" si="5">(L19-L$4)/L$4</f>
        <v>1.787431265442195E-2</v>
      </c>
      <c r="Y19" s="81">
        <f t="shared" ref="Y19" si="6">C19+B19</f>
        <v>15020.606383541945</v>
      </c>
    </row>
    <row r="20" spans="1:25" x14ac:dyDescent="0.25">
      <c r="A20" s="39" t="str">
        <f>'Scenario List'!A19</f>
        <v>17- WA Maximum Customer Benefits</v>
      </c>
      <c r="B20" s="59">
        <f>HLOOKUP($A20,'Annual Summaries'!$B$3:$R$29,27,FALSE)</f>
        <v>10593.672088911744</v>
      </c>
      <c r="C20" s="59">
        <f>HLOOKUP($A20,'Annual Summaries'!$T$3:$AN$29,27,FALSE)</f>
        <v>4769.2216303203886</v>
      </c>
      <c r="D20" s="59">
        <f t="shared" si="0"/>
        <v>15362.893719232132</v>
      </c>
      <c r="E20" s="59">
        <f>-PMT('Annual Summaries'!$A$1,22,B20)</f>
        <v>919.15813784906038</v>
      </c>
      <c r="F20" s="59">
        <f>-PMT('Annual Summaries'!$A$1,22,C20)</f>
        <v>413.80069497366037</v>
      </c>
      <c r="G20" s="59">
        <f>-PMT('Annual Summaries'!$A$1,16,HLOOKUP($A20,'Annual Summaries'!$B$3:$T$36,34,FALSE))</f>
        <v>1074.5291893536353</v>
      </c>
      <c r="H20" s="59">
        <f>-PMT('Annual Summaries'!$A$1,16,HLOOKUP($A20,'Annual Summaries'!$T$3:$AN$36,34,FALSE))</f>
        <v>466.82490468637474</v>
      </c>
      <c r="I20" s="83">
        <f>HLOOKUP($A20,'Annual Summaries'!$B$39:$R$63,10,FALSE)</f>
        <v>0.13357025828705027</v>
      </c>
      <c r="J20" s="83">
        <f>HLOOKUP($A20,'Annual Summaries'!$B$39:$R$63,25,FALSE)</f>
        <v>0.30228617105748995</v>
      </c>
      <c r="K20" s="83">
        <f>HLOOKUP($A20,'Annual Summaries'!$T$39:$AJ$63,10,FALSE)</f>
        <v>0.1185888059153347</v>
      </c>
      <c r="L20" s="83">
        <f>HLOOKUP($A20,'Annual Summaries'!$T$39:$AJ$63,25,FALSE)</f>
        <v>0.18170689885797672</v>
      </c>
      <c r="M20" s="59">
        <f>VLOOKUP($A20&amp;"&amp;"&amp;2030,'Summary Data'!$A$4:$Y$580,12,FALSE)</f>
        <v>12.339308214861196</v>
      </c>
      <c r="N20" s="59">
        <f>+VLOOKUP($A20&amp;"&amp;"&amp;2030,'Summary Data'!$A$4:$Y$580,13,FALSE)</f>
        <v>9.0479263895861504</v>
      </c>
      <c r="O20" s="59">
        <f>VLOOKUP($A20&amp;"&amp;"&amp;2045,'Summary Data'!$A$4:$Y$580,12,FALSE)</f>
        <v>26.933909627697176</v>
      </c>
      <c r="P20" s="59">
        <f>VLOOKUP($A20&amp;"&amp;"&amp;2045,'Summary Data'!$A$4:$Y$580,13,FALSE)</f>
        <v>23.926609039872186</v>
      </c>
      <c r="Q20" s="59">
        <f>VLOOKUP($A20&amp;"&amp;"&amp;2045,'Summary Data'!$A$4:$Y$580,14,FALSE)</f>
        <v>42.539767444835661</v>
      </c>
      <c r="R20" s="59">
        <f>+VLOOKUP($A20&amp;"&amp;"&amp;2045,'Summary Data'!$A$4:$Y$580,15,FALSE)</f>
        <v>46.331079864571763</v>
      </c>
      <c r="S20" s="84">
        <f>HLOOKUP($A20,'Annual Summaries'!$B$96:$S$120,25,FALSE)</f>
        <v>0.53314988980288502</v>
      </c>
    </row>
    <row r="21" spans="1:25" x14ac:dyDescent="0.25">
      <c r="B21" s="81"/>
      <c r="C21" s="81"/>
      <c r="D21" s="81"/>
      <c r="E21" s="81"/>
      <c r="F21" s="81"/>
      <c r="G21" s="81"/>
      <c r="H21" s="81"/>
      <c r="I21" s="81"/>
      <c r="J21" s="184"/>
      <c r="K21" s="81"/>
      <c r="L21" s="81"/>
      <c r="M21" s="81"/>
      <c r="N21" s="81"/>
      <c r="O21" s="81"/>
      <c r="P21" s="81"/>
      <c r="Q21" s="81"/>
      <c r="R21" s="81"/>
      <c r="S21" s="81"/>
    </row>
    <row r="22" spans="1:25" x14ac:dyDescent="0.25">
      <c r="A22" s="126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</row>
    <row r="23" spans="1:25" ht="38.25" x14ac:dyDescent="0.25">
      <c r="A23" s="58" t="s">
        <v>30</v>
      </c>
      <c r="B23" s="79" t="s">
        <v>74</v>
      </c>
      <c r="C23" s="79" t="s">
        <v>73</v>
      </c>
      <c r="D23" s="79" t="s">
        <v>217</v>
      </c>
      <c r="E23" s="79" t="s">
        <v>75</v>
      </c>
      <c r="F23" s="79" t="s">
        <v>76</v>
      </c>
      <c r="G23" s="79" t="s">
        <v>77</v>
      </c>
      <c r="H23" s="79" t="s">
        <v>78</v>
      </c>
    </row>
    <row r="24" spans="1:25" x14ac:dyDescent="0.25">
      <c r="A24" s="39" t="str">
        <f>A4</f>
        <v>1- Preferred Resource Strategy</v>
      </c>
      <c r="B24" s="143">
        <f>B4</f>
        <v>10212.54177015306</v>
      </c>
      <c r="C24" s="143">
        <f t="shared" ref="C24:D24" si="7">C4</f>
        <v>4783.1210136077843</v>
      </c>
      <c r="D24" s="143">
        <f t="shared" si="7"/>
        <v>14995.662783760845</v>
      </c>
      <c r="E24" s="144">
        <f>I4</f>
        <v>0.13267359510523058</v>
      </c>
      <c r="F24" s="144">
        <f t="shared" ref="F24:G24" si="8">J4</f>
        <v>0.23402456426830173</v>
      </c>
      <c r="G24" s="144">
        <f t="shared" si="8"/>
        <v>0.1185973018302955</v>
      </c>
      <c r="H24" s="144">
        <f>L4</f>
        <v>0.18460326731151203</v>
      </c>
    </row>
    <row r="25" spans="1:25" x14ac:dyDescent="0.25">
      <c r="A25" s="39" t="str">
        <f t="shared" ref="A25:D25" si="9">A5</f>
        <v>2- Alternative Lowest Reasonable Cost Portfolio</v>
      </c>
      <c r="B25" s="143">
        <f t="shared" si="9"/>
        <v>10122.156772005914</v>
      </c>
      <c r="C25" s="143">
        <f t="shared" si="9"/>
        <v>4777.897616031637</v>
      </c>
      <c r="D25" s="143">
        <f t="shared" si="9"/>
        <v>14900.054388037552</v>
      </c>
      <c r="E25" s="144">
        <f t="shared" ref="E25:E39" si="10">I5</f>
        <v>0.13203057852115693</v>
      </c>
      <c r="F25" s="144">
        <f t="shared" ref="F25:F39" si="11">J5</f>
        <v>0.2223633905095804</v>
      </c>
      <c r="G25" s="144">
        <f t="shared" ref="G25:H39" si="12">K5</f>
        <v>0.11873474555602197</v>
      </c>
      <c r="H25" s="144">
        <f t="shared" si="12"/>
        <v>0.1806547710836616</v>
      </c>
    </row>
    <row r="26" spans="1:25" x14ac:dyDescent="0.25">
      <c r="A26" s="39" t="str">
        <f t="shared" ref="A26:D26" si="13">A6</f>
        <v>3- Baseline Portfolio</v>
      </c>
      <c r="B26" s="143">
        <f t="shared" si="13"/>
        <v>10063.54613897866</v>
      </c>
      <c r="C26" s="143">
        <f t="shared" si="13"/>
        <v>4788.7513375827311</v>
      </c>
      <c r="D26" s="143">
        <f t="shared" si="13"/>
        <v>14852.297476561391</v>
      </c>
      <c r="E26" s="144">
        <f t="shared" si="10"/>
        <v>0.13265834347180819</v>
      </c>
      <c r="F26" s="144">
        <f t="shared" si="11"/>
        <v>0.2046221874849706</v>
      </c>
      <c r="G26" s="144">
        <f t="shared" si="12"/>
        <v>0.11859328115315164</v>
      </c>
      <c r="H26" s="144">
        <f t="shared" ref="H26:H39" si="14">L6</f>
        <v>0.18389149084065629</v>
      </c>
    </row>
    <row r="27" spans="1:25" x14ac:dyDescent="0.25">
      <c r="A27" s="39" t="str">
        <f t="shared" ref="A27:D27" si="15">A7</f>
        <v>4- No Resource Additions</v>
      </c>
      <c r="B27" s="143">
        <f t="shared" si="15"/>
        <v>9965.8100132929158</v>
      </c>
      <c r="C27" s="143">
        <f t="shared" si="15"/>
        <v>4713.2019392591546</v>
      </c>
      <c r="D27" s="143">
        <f t="shared" si="15"/>
        <v>14679.011952552071</v>
      </c>
      <c r="E27" s="144">
        <f t="shared" si="10"/>
        <v>0.13267496331058853</v>
      </c>
      <c r="F27" s="144">
        <f t="shared" si="11"/>
        <v>0.1940355520856471</v>
      </c>
      <c r="G27" s="144">
        <f t="shared" si="12"/>
        <v>0.11852509684482135</v>
      </c>
      <c r="H27" s="144">
        <f t="shared" si="14"/>
        <v>0.16942603612961071</v>
      </c>
    </row>
    <row r="28" spans="1:25" x14ac:dyDescent="0.25">
      <c r="A28" s="39" t="str">
        <f t="shared" ref="A28:D28" si="16">A8</f>
        <v>5- No CETA/ No new NG</v>
      </c>
      <c r="B28" s="143">
        <f t="shared" si="16"/>
        <v>10158.418299738747</v>
      </c>
      <c r="C28" s="143">
        <f t="shared" si="16"/>
        <v>4821.2631342930626</v>
      </c>
      <c r="D28" s="143">
        <f t="shared" si="16"/>
        <v>14979.681434031809</v>
      </c>
      <c r="E28" s="144">
        <f t="shared" si="10"/>
        <v>0.13265834347180819</v>
      </c>
      <c r="F28" s="144">
        <f t="shared" si="11"/>
        <v>0.2228832831258708</v>
      </c>
      <c r="G28" s="144">
        <f t="shared" si="12"/>
        <v>0.11859328115315164</v>
      </c>
      <c r="H28" s="144">
        <f t="shared" si="14"/>
        <v>0.18809055905351307</v>
      </c>
    </row>
    <row r="29" spans="1:25" x14ac:dyDescent="0.25">
      <c r="A29" s="39" t="str">
        <f t="shared" ref="A29:D29" si="17">A9</f>
        <v>6- WRAP PRM</v>
      </c>
      <c r="B29" s="143">
        <f t="shared" si="17"/>
        <v>10217.187521777265</v>
      </c>
      <c r="C29" s="143">
        <f t="shared" si="17"/>
        <v>4777.9092324759658</v>
      </c>
      <c r="D29" s="143">
        <f t="shared" si="17"/>
        <v>14995.096754253231</v>
      </c>
      <c r="E29" s="144">
        <f t="shared" si="10"/>
        <v>0.13270745335852285</v>
      </c>
      <c r="F29" s="144">
        <f t="shared" si="11"/>
        <v>0.24197065133684836</v>
      </c>
      <c r="G29" s="144">
        <f t="shared" si="12"/>
        <v>0.11860658273753902</v>
      </c>
      <c r="H29" s="144">
        <f t="shared" si="14"/>
        <v>0.18555078866115138</v>
      </c>
    </row>
    <row r="30" spans="1:25" x14ac:dyDescent="0.25">
      <c r="A30" s="39" t="str">
        <f t="shared" ref="A30:D30" si="18">A10</f>
        <v>7- WRAP PRM No QCC Changes</v>
      </c>
      <c r="B30" s="143">
        <f t="shared" si="18"/>
        <v>10126.065807935458</v>
      </c>
      <c r="C30" s="143">
        <f t="shared" si="18"/>
        <v>4763.4132972472171</v>
      </c>
      <c r="D30" s="143">
        <f t="shared" si="18"/>
        <v>14889.479105182676</v>
      </c>
      <c r="E30" s="144">
        <f t="shared" si="10"/>
        <v>0.13277293699418885</v>
      </c>
      <c r="F30" s="144">
        <f t="shared" si="11"/>
        <v>0.23343185468350577</v>
      </c>
      <c r="G30" s="144">
        <f t="shared" si="12"/>
        <v>0.11861697974397351</v>
      </c>
      <c r="H30" s="144">
        <f t="shared" si="14"/>
        <v>0.17924416770975352</v>
      </c>
    </row>
    <row r="31" spans="1:25" x14ac:dyDescent="0.25">
      <c r="A31" s="39" t="str">
        <f t="shared" ref="A31:D31" si="19">A11</f>
        <v>8- VERs Assigned to Washington</v>
      </c>
      <c r="B31" s="143">
        <f t="shared" si="19"/>
        <v>10205.100128580674</v>
      </c>
      <c r="C31" s="143">
        <f t="shared" si="19"/>
        <v>4819.2489427298742</v>
      </c>
      <c r="D31" s="143">
        <f t="shared" si="19"/>
        <v>15024.349071310549</v>
      </c>
      <c r="E31" s="144">
        <f t="shared" si="10"/>
        <v>0.13289050031506686</v>
      </c>
      <c r="F31" s="144">
        <f t="shared" si="11"/>
        <v>0.23354375234411018</v>
      </c>
      <c r="G31" s="144">
        <f t="shared" si="12"/>
        <v>0.12038747127080057</v>
      </c>
      <c r="H31" s="144">
        <f t="shared" si="14"/>
        <v>0.18374193116994875</v>
      </c>
    </row>
    <row r="32" spans="1:25" x14ac:dyDescent="0.25">
      <c r="A32" s="39" t="str">
        <f t="shared" ref="A32:D32" si="20">A12</f>
        <v>9- Low Economic Growth Loads</v>
      </c>
      <c r="B32" s="143">
        <f t="shared" si="20"/>
        <v>10118.85011364489</v>
      </c>
      <c r="C32" s="143">
        <f t="shared" si="20"/>
        <v>4697.0626513287243</v>
      </c>
      <c r="D32" s="143">
        <f t="shared" si="20"/>
        <v>14815.912764973615</v>
      </c>
      <c r="E32" s="144">
        <f t="shared" si="10"/>
        <v>0.13402538367099676</v>
      </c>
      <c r="F32" s="144">
        <f t="shared" si="11"/>
        <v>0.24345501600713038</v>
      </c>
      <c r="G32" s="144">
        <f t="shared" si="12"/>
        <v>0.12033119799256345</v>
      </c>
      <c r="H32" s="144">
        <f t="shared" si="14"/>
        <v>0.19193893864633696</v>
      </c>
    </row>
    <row r="33" spans="1:8" x14ac:dyDescent="0.25">
      <c r="A33" s="39" t="str">
        <f t="shared" ref="A33:D33" si="21">A13</f>
        <v>10- High Economic Growth Loads</v>
      </c>
      <c r="B33" s="143">
        <f t="shared" si="21"/>
        <v>10279.441525823078</v>
      </c>
      <c r="C33" s="143">
        <f t="shared" si="21"/>
        <v>4868.2070862180908</v>
      </c>
      <c r="D33" s="143">
        <f t="shared" si="21"/>
        <v>15147.648612041168</v>
      </c>
      <c r="E33" s="144">
        <f t="shared" si="10"/>
        <v>0.13224329435035129</v>
      </c>
      <c r="F33" s="144">
        <f t="shared" si="11"/>
        <v>0.23317707226319012</v>
      </c>
      <c r="G33" s="144">
        <f t="shared" si="12"/>
        <v>0.11697764060504585</v>
      </c>
      <c r="H33" s="144">
        <f t="shared" si="14"/>
        <v>0.17558613906550938</v>
      </c>
    </row>
    <row r="34" spans="1:8" x14ac:dyDescent="0.25">
      <c r="A34" s="39" t="str">
        <f t="shared" ref="A34:D34" si="22">A14</f>
        <v>11- High Electric Vehicle Growth</v>
      </c>
      <c r="B34" s="143">
        <f t="shared" si="22"/>
        <v>10541.422846332467</v>
      </c>
      <c r="C34" s="143">
        <f t="shared" si="22"/>
        <v>4812.1486789307301</v>
      </c>
      <c r="D34" s="143">
        <f t="shared" si="22"/>
        <v>15353.571525263196</v>
      </c>
      <c r="E34" s="144">
        <f t="shared" si="10"/>
        <v>0.13265766227246034</v>
      </c>
      <c r="F34" s="144">
        <f t="shared" si="11"/>
        <v>0.22702652928590714</v>
      </c>
      <c r="G34" s="144">
        <f t="shared" si="12"/>
        <v>0.11859869831656702</v>
      </c>
      <c r="H34" s="144">
        <f t="shared" si="14"/>
        <v>0.18560142987365294</v>
      </c>
    </row>
    <row r="35" spans="1:8" x14ac:dyDescent="0.25">
      <c r="A35" s="39" t="str">
        <f t="shared" ref="A35:D35" si="23">A15</f>
        <v>12- WA Space/ Water Electrification</v>
      </c>
      <c r="B35" s="143">
        <f t="shared" si="23"/>
        <v>11283.172968469011</v>
      </c>
      <c r="C35" s="143">
        <f t="shared" si="23"/>
        <v>4842.5936389809376</v>
      </c>
      <c r="D35" s="143">
        <f t="shared" si="23"/>
        <v>16125.766607449948</v>
      </c>
      <c r="E35" s="144">
        <f t="shared" si="10"/>
        <v>0.13094044938916483</v>
      </c>
      <c r="F35" s="144">
        <f t="shared" si="11"/>
        <v>0.25937757140777984</v>
      </c>
      <c r="G35" s="144">
        <f t="shared" si="12"/>
        <v>0.11864619311180785</v>
      </c>
      <c r="H35" s="144">
        <f t="shared" si="14"/>
        <v>0.19506363244461991</v>
      </c>
    </row>
    <row r="36" spans="1:8" x14ac:dyDescent="0.25">
      <c r="A36" s="39" t="str">
        <f t="shared" ref="A36:D36" si="24">A16</f>
        <v>13- WA Space/ Water Electrification w/NG Backup</v>
      </c>
      <c r="B36" s="143">
        <f t="shared" si="24"/>
        <v>10786.817552719411</v>
      </c>
      <c r="C36" s="143">
        <f t="shared" si="24"/>
        <v>4799.5925930641852</v>
      </c>
      <c r="D36" s="143">
        <f t="shared" si="24"/>
        <v>15586.410145783597</v>
      </c>
      <c r="E36" s="144">
        <f t="shared" si="10"/>
        <v>0.13156771699963268</v>
      </c>
      <c r="F36" s="144">
        <f t="shared" si="11"/>
        <v>0.24357133085008276</v>
      </c>
      <c r="G36" s="144">
        <f t="shared" si="12"/>
        <v>0.11874030756882568</v>
      </c>
      <c r="H36" s="144">
        <f t="shared" si="14"/>
        <v>0.19404108934597813</v>
      </c>
    </row>
    <row r="37" spans="1:8" x14ac:dyDescent="0.25">
      <c r="A37" s="39" t="str">
        <f t="shared" ref="A37:D37" si="25">A17</f>
        <v>14- Combined Electrification</v>
      </c>
      <c r="B37" s="143">
        <f t="shared" si="25"/>
        <v>11654.610545718137</v>
      </c>
      <c r="C37" s="143">
        <f t="shared" si="25"/>
        <v>4878.5961933829267</v>
      </c>
      <c r="D37" s="143">
        <f t="shared" si="25"/>
        <v>16533.206739101064</v>
      </c>
      <c r="E37" s="144">
        <f t="shared" si="10"/>
        <v>0.13149048608405847</v>
      </c>
      <c r="F37" s="144">
        <f t="shared" si="11"/>
        <v>0.27260001890822932</v>
      </c>
      <c r="G37" s="144">
        <f t="shared" si="12"/>
        <v>0.11881697788569318</v>
      </c>
      <c r="H37" s="144">
        <f t="shared" si="14"/>
        <v>0.19535094624583896</v>
      </c>
    </row>
    <row r="38" spans="1:8" x14ac:dyDescent="0.25">
      <c r="A38" s="39" t="str">
        <f t="shared" ref="A38:D40" si="26">A18</f>
        <v>15- Clean Portfolio by 2045</v>
      </c>
      <c r="B38" s="143">
        <f t="shared" si="26"/>
        <v>10227.159624866797</v>
      </c>
      <c r="C38" s="143">
        <f t="shared" si="26"/>
        <v>4902.4247782809198</v>
      </c>
      <c r="D38" s="143">
        <f t="shared" si="26"/>
        <v>15129.584403147717</v>
      </c>
      <c r="E38" s="144">
        <f t="shared" si="10"/>
        <v>0.13277394522340563</v>
      </c>
      <c r="F38" s="144">
        <f t="shared" si="11"/>
        <v>0.24008834157082209</v>
      </c>
      <c r="G38" s="144">
        <f t="shared" si="12"/>
        <v>0.11899074422762175</v>
      </c>
      <c r="H38" s="144">
        <f t="shared" si="14"/>
        <v>0.25887415396330338</v>
      </c>
    </row>
    <row r="39" spans="1:8" x14ac:dyDescent="0.25">
      <c r="A39" s="39" t="str">
        <f t="shared" ref="A39:D40" si="27">A19</f>
        <v>16- Social Cost Included for Idaho</v>
      </c>
      <c r="B39" s="143">
        <f t="shared" si="27"/>
        <v>10219.445729866309</v>
      </c>
      <c r="C39" s="143">
        <f t="shared" si="27"/>
        <v>4801.1606536756362</v>
      </c>
      <c r="D39" s="143">
        <f t="shared" si="27"/>
        <v>15020.606383541945</v>
      </c>
      <c r="E39" s="144">
        <f t="shared" si="10"/>
        <v>0.13278462711138045</v>
      </c>
      <c r="F39" s="144">
        <f t="shared" si="11"/>
        <v>0.23536266277583834</v>
      </c>
      <c r="G39" s="144">
        <f t="shared" si="12"/>
        <v>0.11838707972156524</v>
      </c>
      <c r="H39" s="144">
        <f t="shared" si="14"/>
        <v>0.18790292382846582</v>
      </c>
    </row>
    <row r="40" spans="1:8" x14ac:dyDescent="0.25">
      <c r="A40" s="39" t="str">
        <f t="shared" si="26"/>
        <v>17- WA Maximum Customer Benefits</v>
      </c>
      <c r="B40" s="143">
        <f t="shared" si="27"/>
        <v>10593.672088911744</v>
      </c>
      <c r="C40" s="143">
        <f t="shared" si="27"/>
        <v>4769.2216303203886</v>
      </c>
      <c r="D40" s="143">
        <f t="shared" si="27"/>
        <v>15362.893719232132</v>
      </c>
      <c r="E40" s="144">
        <f t="shared" ref="E40" si="28">I20</f>
        <v>0.13357025828705027</v>
      </c>
      <c r="F40" s="144">
        <f t="shared" ref="F40" si="29">J20</f>
        <v>0.30228617105748995</v>
      </c>
      <c r="G40" s="144">
        <f t="shared" ref="G40" si="30">K20</f>
        <v>0.1185888059153347</v>
      </c>
      <c r="H40" s="144">
        <f t="shared" ref="H40" si="31">L20</f>
        <v>0.18170689885797672</v>
      </c>
    </row>
    <row r="42" spans="1:8" ht="38.25" x14ac:dyDescent="0.25">
      <c r="A42" s="58" t="s">
        <v>30</v>
      </c>
      <c r="B42" s="79" t="s">
        <v>74</v>
      </c>
      <c r="C42" s="79" t="s">
        <v>73</v>
      </c>
      <c r="D42" s="79" t="s">
        <v>217</v>
      </c>
      <c r="E42" s="79" t="s">
        <v>75</v>
      </c>
      <c r="F42" s="79" t="s">
        <v>76</v>
      </c>
      <c r="G42" s="79" t="s">
        <v>77</v>
      </c>
      <c r="H42" s="79" t="s">
        <v>78</v>
      </c>
    </row>
    <row r="43" spans="1:8" x14ac:dyDescent="0.25">
      <c r="A43" s="39" t="str">
        <f>A24</f>
        <v>1- Preferred Resource Strategy</v>
      </c>
      <c r="B43" s="59">
        <f>B24</f>
        <v>10212.54177015306</v>
      </c>
      <c r="C43" s="59">
        <f t="shared" ref="C43:H43" si="32">C24</f>
        <v>4783.1210136077843</v>
      </c>
      <c r="D43" s="59">
        <f t="shared" si="32"/>
        <v>14995.662783760845</v>
      </c>
      <c r="E43" s="83">
        <f t="shared" si="32"/>
        <v>0.13267359510523058</v>
      </c>
      <c r="F43" s="83">
        <f t="shared" si="32"/>
        <v>0.23402456426830173</v>
      </c>
      <c r="G43" s="83">
        <f t="shared" si="32"/>
        <v>0.1185973018302955</v>
      </c>
      <c r="H43" s="83">
        <f t="shared" si="32"/>
        <v>0.18460326731151203</v>
      </c>
    </row>
    <row r="44" spans="1:8" x14ac:dyDescent="0.25">
      <c r="A44" s="39" t="str">
        <f t="shared" ref="A44:A59" si="33">A25</f>
        <v>2- Alternative Lowest Reasonable Cost Portfolio</v>
      </c>
      <c r="B44" s="59">
        <f t="shared" ref="B44:H44" si="34">B25</f>
        <v>10122.156772005914</v>
      </c>
      <c r="C44" s="59">
        <f t="shared" si="34"/>
        <v>4777.897616031637</v>
      </c>
      <c r="D44" s="59">
        <f t="shared" si="34"/>
        <v>14900.054388037552</v>
      </c>
      <c r="E44" s="83">
        <f t="shared" si="34"/>
        <v>0.13203057852115693</v>
      </c>
      <c r="F44" s="83">
        <f t="shared" si="34"/>
        <v>0.2223633905095804</v>
      </c>
      <c r="G44" s="83">
        <f t="shared" si="34"/>
        <v>0.11873474555602197</v>
      </c>
      <c r="H44" s="83">
        <f t="shared" si="34"/>
        <v>0.1806547710836616</v>
      </c>
    </row>
    <row r="45" spans="1:8" x14ac:dyDescent="0.25">
      <c r="A45" s="39" t="str">
        <f t="shared" si="33"/>
        <v>3- Baseline Portfolio</v>
      </c>
      <c r="B45" s="59">
        <f t="shared" ref="B45:H45" si="35">B26</f>
        <v>10063.54613897866</v>
      </c>
      <c r="C45" s="59">
        <f t="shared" si="35"/>
        <v>4788.7513375827311</v>
      </c>
      <c r="D45" s="59">
        <f t="shared" si="35"/>
        <v>14852.297476561391</v>
      </c>
      <c r="E45" s="83">
        <f t="shared" si="35"/>
        <v>0.13265834347180819</v>
      </c>
      <c r="F45" s="83">
        <f t="shared" si="35"/>
        <v>0.2046221874849706</v>
      </c>
      <c r="G45" s="83">
        <f t="shared" si="35"/>
        <v>0.11859328115315164</v>
      </c>
      <c r="H45" s="83">
        <f t="shared" si="35"/>
        <v>0.18389149084065629</v>
      </c>
    </row>
    <row r="46" spans="1:8" x14ac:dyDescent="0.25">
      <c r="A46" s="39" t="str">
        <f t="shared" si="33"/>
        <v>4- No Resource Additions</v>
      </c>
      <c r="B46" s="59">
        <f t="shared" ref="B46:H46" si="36">B27</f>
        <v>9965.8100132929158</v>
      </c>
      <c r="C46" s="59">
        <f t="shared" si="36"/>
        <v>4713.2019392591546</v>
      </c>
      <c r="D46" s="59">
        <f t="shared" si="36"/>
        <v>14679.011952552071</v>
      </c>
      <c r="E46" s="83">
        <f t="shared" si="36"/>
        <v>0.13267496331058853</v>
      </c>
      <c r="F46" s="83">
        <f t="shared" si="36"/>
        <v>0.1940355520856471</v>
      </c>
      <c r="G46" s="83">
        <f t="shared" si="36"/>
        <v>0.11852509684482135</v>
      </c>
      <c r="H46" s="83">
        <f t="shared" si="36"/>
        <v>0.16942603612961071</v>
      </c>
    </row>
    <row r="47" spans="1:8" x14ac:dyDescent="0.25">
      <c r="A47" s="39" t="str">
        <f t="shared" si="33"/>
        <v>5- No CETA/ No new NG</v>
      </c>
      <c r="B47" s="59">
        <f t="shared" ref="B47:H47" si="37">B28</f>
        <v>10158.418299738747</v>
      </c>
      <c r="C47" s="59">
        <f t="shared" si="37"/>
        <v>4821.2631342930626</v>
      </c>
      <c r="D47" s="59">
        <f t="shared" si="37"/>
        <v>14979.681434031809</v>
      </c>
      <c r="E47" s="83">
        <f t="shared" si="37"/>
        <v>0.13265834347180819</v>
      </c>
      <c r="F47" s="83">
        <f t="shared" si="37"/>
        <v>0.2228832831258708</v>
      </c>
      <c r="G47" s="83">
        <f t="shared" si="37"/>
        <v>0.11859328115315164</v>
      </c>
      <c r="H47" s="83">
        <f t="shared" si="37"/>
        <v>0.18809055905351307</v>
      </c>
    </row>
    <row r="48" spans="1:8" x14ac:dyDescent="0.25">
      <c r="A48" s="39" t="str">
        <f t="shared" si="33"/>
        <v>6- WRAP PRM</v>
      </c>
      <c r="B48" s="59">
        <f t="shared" ref="B48:H48" si="38">B29</f>
        <v>10217.187521777265</v>
      </c>
      <c r="C48" s="59">
        <f t="shared" si="38"/>
        <v>4777.9092324759658</v>
      </c>
      <c r="D48" s="59">
        <f t="shared" si="38"/>
        <v>14995.096754253231</v>
      </c>
      <c r="E48" s="83">
        <f t="shared" si="38"/>
        <v>0.13270745335852285</v>
      </c>
      <c r="F48" s="83">
        <f t="shared" si="38"/>
        <v>0.24197065133684836</v>
      </c>
      <c r="G48" s="83">
        <f t="shared" si="38"/>
        <v>0.11860658273753902</v>
      </c>
      <c r="H48" s="83">
        <f t="shared" si="38"/>
        <v>0.18555078866115138</v>
      </c>
    </row>
    <row r="49" spans="1:8" x14ac:dyDescent="0.25">
      <c r="A49" s="39" t="str">
        <f t="shared" si="33"/>
        <v>7- WRAP PRM No QCC Changes</v>
      </c>
      <c r="B49" s="59">
        <f t="shared" ref="B49:H49" si="39">B30</f>
        <v>10126.065807935458</v>
      </c>
      <c r="C49" s="59">
        <f t="shared" si="39"/>
        <v>4763.4132972472171</v>
      </c>
      <c r="D49" s="59">
        <f t="shared" si="39"/>
        <v>14889.479105182676</v>
      </c>
      <c r="E49" s="83">
        <f t="shared" si="39"/>
        <v>0.13277293699418885</v>
      </c>
      <c r="F49" s="83">
        <f t="shared" si="39"/>
        <v>0.23343185468350577</v>
      </c>
      <c r="G49" s="83">
        <f t="shared" si="39"/>
        <v>0.11861697974397351</v>
      </c>
      <c r="H49" s="83">
        <f t="shared" si="39"/>
        <v>0.17924416770975352</v>
      </c>
    </row>
    <row r="50" spans="1:8" x14ac:dyDescent="0.25">
      <c r="A50" s="39" t="str">
        <f t="shared" si="33"/>
        <v>8- VERs Assigned to Washington</v>
      </c>
      <c r="B50" s="59">
        <f t="shared" ref="B50:H50" si="40">B31</f>
        <v>10205.100128580674</v>
      </c>
      <c r="C50" s="59">
        <f t="shared" si="40"/>
        <v>4819.2489427298742</v>
      </c>
      <c r="D50" s="59">
        <f t="shared" si="40"/>
        <v>15024.349071310549</v>
      </c>
      <c r="E50" s="83">
        <f t="shared" si="40"/>
        <v>0.13289050031506686</v>
      </c>
      <c r="F50" s="83">
        <f t="shared" si="40"/>
        <v>0.23354375234411018</v>
      </c>
      <c r="G50" s="83">
        <f t="shared" si="40"/>
        <v>0.12038747127080057</v>
      </c>
      <c r="H50" s="83">
        <f t="shared" si="40"/>
        <v>0.18374193116994875</v>
      </c>
    </row>
    <row r="51" spans="1:8" x14ac:dyDescent="0.25">
      <c r="A51" s="39" t="str">
        <f t="shared" si="33"/>
        <v>9- Low Economic Growth Loads</v>
      </c>
      <c r="B51" s="59">
        <f t="shared" ref="B51:H51" si="41">B32</f>
        <v>10118.85011364489</v>
      </c>
      <c r="C51" s="59">
        <f t="shared" si="41"/>
        <v>4697.0626513287243</v>
      </c>
      <c r="D51" s="59">
        <f t="shared" si="41"/>
        <v>14815.912764973615</v>
      </c>
      <c r="E51" s="83">
        <f t="shared" si="41"/>
        <v>0.13402538367099676</v>
      </c>
      <c r="F51" s="83">
        <f t="shared" si="41"/>
        <v>0.24345501600713038</v>
      </c>
      <c r="G51" s="83">
        <f t="shared" si="41"/>
        <v>0.12033119799256345</v>
      </c>
      <c r="H51" s="83">
        <f t="shared" si="41"/>
        <v>0.19193893864633696</v>
      </c>
    </row>
    <row r="52" spans="1:8" x14ac:dyDescent="0.25">
      <c r="A52" s="39" t="str">
        <f t="shared" si="33"/>
        <v>10- High Economic Growth Loads</v>
      </c>
      <c r="B52" s="59">
        <f t="shared" ref="B52:H52" si="42">B33</f>
        <v>10279.441525823078</v>
      </c>
      <c r="C52" s="59">
        <f t="shared" si="42"/>
        <v>4868.2070862180908</v>
      </c>
      <c r="D52" s="59">
        <f t="shared" si="42"/>
        <v>15147.648612041168</v>
      </c>
      <c r="E52" s="83">
        <f t="shared" si="42"/>
        <v>0.13224329435035129</v>
      </c>
      <c r="F52" s="83">
        <f t="shared" si="42"/>
        <v>0.23317707226319012</v>
      </c>
      <c r="G52" s="83">
        <f t="shared" si="42"/>
        <v>0.11697764060504585</v>
      </c>
      <c r="H52" s="83">
        <f t="shared" si="42"/>
        <v>0.17558613906550938</v>
      </c>
    </row>
    <row r="53" spans="1:8" x14ac:dyDescent="0.25">
      <c r="A53" s="39" t="str">
        <f t="shared" si="33"/>
        <v>11- High Electric Vehicle Growth</v>
      </c>
      <c r="B53" s="59">
        <f t="shared" ref="B53:H53" si="43">B34</f>
        <v>10541.422846332467</v>
      </c>
      <c r="C53" s="59">
        <f t="shared" si="43"/>
        <v>4812.1486789307301</v>
      </c>
      <c r="D53" s="59">
        <f t="shared" si="43"/>
        <v>15353.571525263196</v>
      </c>
      <c r="E53" s="83">
        <f t="shared" si="43"/>
        <v>0.13265766227246034</v>
      </c>
      <c r="F53" s="83">
        <f t="shared" si="43"/>
        <v>0.22702652928590714</v>
      </c>
      <c r="G53" s="83">
        <f t="shared" si="43"/>
        <v>0.11859869831656702</v>
      </c>
      <c r="H53" s="83">
        <f t="shared" si="43"/>
        <v>0.18560142987365294</v>
      </c>
    </row>
    <row r="54" spans="1:8" x14ac:dyDescent="0.25">
      <c r="A54" s="39" t="str">
        <f t="shared" si="33"/>
        <v>12- WA Space/ Water Electrification</v>
      </c>
      <c r="B54" s="59">
        <f t="shared" ref="B54:H54" si="44">B35</f>
        <v>11283.172968469011</v>
      </c>
      <c r="C54" s="59">
        <f t="shared" si="44"/>
        <v>4842.5936389809376</v>
      </c>
      <c r="D54" s="59">
        <f t="shared" si="44"/>
        <v>16125.766607449948</v>
      </c>
      <c r="E54" s="83">
        <f t="shared" si="44"/>
        <v>0.13094044938916483</v>
      </c>
      <c r="F54" s="83">
        <f t="shared" si="44"/>
        <v>0.25937757140777984</v>
      </c>
      <c r="G54" s="83">
        <f t="shared" si="44"/>
        <v>0.11864619311180785</v>
      </c>
      <c r="H54" s="83">
        <f t="shared" si="44"/>
        <v>0.19506363244461991</v>
      </c>
    </row>
    <row r="55" spans="1:8" x14ac:dyDescent="0.25">
      <c r="A55" s="39" t="str">
        <f t="shared" si="33"/>
        <v>13- WA Space/ Water Electrification w/NG Backup</v>
      </c>
      <c r="B55" s="59">
        <f t="shared" ref="B55:H55" si="45">B36</f>
        <v>10786.817552719411</v>
      </c>
      <c r="C55" s="59">
        <f t="shared" si="45"/>
        <v>4799.5925930641852</v>
      </c>
      <c r="D55" s="59">
        <f t="shared" si="45"/>
        <v>15586.410145783597</v>
      </c>
      <c r="E55" s="83">
        <f t="shared" si="45"/>
        <v>0.13156771699963268</v>
      </c>
      <c r="F55" s="83">
        <f t="shared" si="45"/>
        <v>0.24357133085008276</v>
      </c>
      <c r="G55" s="83">
        <f t="shared" si="45"/>
        <v>0.11874030756882568</v>
      </c>
      <c r="H55" s="83">
        <f t="shared" si="45"/>
        <v>0.19404108934597813</v>
      </c>
    </row>
    <row r="56" spans="1:8" x14ac:dyDescent="0.25">
      <c r="A56" s="39" t="str">
        <f t="shared" si="33"/>
        <v>14- Combined Electrification</v>
      </c>
      <c r="B56" s="59">
        <f t="shared" ref="B56:H56" si="46">B37</f>
        <v>11654.610545718137</v>
      </c>
      <c r="C56" s="59">
        <f t="shared" si="46"/>
        <v>4878.5961933829267</v>
      </c>
      <c r="D56" s="59">
        <f t="shared" si="46"/>
        <v>16533.206739101064</v>
      </c>
      <c r="E56" s="83">
        <f t="shared" si="46"/>
        <v>0.13149048608405847</v>
      </c>
      <c r="F56" s="83">
        <f t="shared" si="46"/>
        <v>0.27260001890822932</v>
      </c>
      <c r="G56" s="83">
        <f t="shared" si="46"/>
        <v>0.11881697788569318</v>
      </c>
      <c r="H56" s="83">
        <f t="shared" si="46"/>
        <v>0.19535094624583896</v>
      </c>
    </row>
    <row r="57" spans="1:8" x14ac:dyDescent="0.25">
      <c r="A57" s="39" t="str">
        <f t="shared" si="33"/>
        <v>15- Clean Portfolio by 2045</v>
      </c>
      <c r="B57" s="59">
        <f t="shared" ref="B57:H57" si="47">B38</f>
        <v>10227.159624866797</v>
      </c>
      <c r="C57" s="59">
        <f t="shared" si="47"/>
        <v>4902.4247782809198</v>
      </c>
      <c r="D57" s="59">
        <f t="shared" si="47"/>
        <v>15129.584403147717</v>
      </c>
      <c r="E57" s="83">
        <f t="shared" si="47"/>
        <v>0.13277394522340563</v>
      </c>
      <c r="F57" s="83">
        <f t="shared" si="47"/>
        <v>0.24008834157082209</v>
      </c>
      <c r="G57" s="83">
        <f t="shared" si="47"/>
        <v>0.11899074422762175</v>
      </c>
      <c r="H57" s="83">
        <f t="shared" si="47"/>
        <v>0.25887415396330338</v>
      </c>
    </row>
    <row r="58" spans="1:8" x14ac:dyDescent="0.25">
      <c r="A58" s="39" t="str">
        <f t="shared" si="33"/>
        <v>16- Social Cost Included for Idaho</v>
      </c>
      <c r="B58" s="59">
        <f t="shared" ref="B58:H59" si="48">B39</f>
        <v>10219.445729866309</v>
      </c>
      <c r="C58" s="59">
        <f t="shared" si="48"/>
        <v>4801.1606536756362</v>
      </c>
      <c r="D58" s="59">
        <f t="shared" si="48"/>
        <v>15020.606383541945</v>
      </c>
      <c r="E58" s="83">
        <f t="shared" si="48"/>
        <v>0.13278462711138045</v>
      </c>
      <c r="F58" s="83">
        <f t="shared" si="48"/>
        <v>0.23536266277583834</v>
      </c>
      <c r="G58" s="83">
        <f t="shared" si="48"/>
        <v>0.11838707972156524</v>
      </c>
      <c r="H58" s="83">
        <f t="shared" si="48"/>
        <v>0.18790292382846582</v>
      </c>
    </row>
    <row r="59" spans="1:8" x14ac:dyDescent="0.25">
      <c r="A59" s="39" t="str">
        <f t="shared" si="33"/>
        <v>17- WA Maximum Customer Benefits</v>
      </c>
      <c r="B59" s="59">
        <f t="shared" si="48"/>
        <v>10593.672088911744</v>
      </c>
      <c r="C59" s="59">
        <f t="shared" si="48"/>
        <v>4769.2216303203886</v>
      </c>
      <c r="D59" s="59">
        <f t="shared" si="48"/>
        <v>15362.893719232132</v>
      </c>
      <c r="E59" s="83">
        <f t="shared" si="48"/>
        <v>0.13357025828705027</v>
      </c>
      <c r="F59" s="83">
        <f t="shared" si="48"/>
        <v>0.30228617105748995</v>
      </c>
      <c r="G59" s="83">
        <f t="shared" si="48"/>
        <v>0.1185888059153347</v>
      </c>
      <c r="H59" s="83">
        <f t="shared" si="48"/>
        <v>0.18170689885797672</v>
      </c>
    </row>
    <row r="61" spans="1:8" x14ac:dyDescent="0.25">
      <c r="A61" s="80" t="s">
        <v>231</v>
      </c>
      <c r="B61" s="153">
        <f>B43*(1-B$63)</f>
        <v>9906.1655170484682</v>
      </c>
      <c r="C61" s="153">
        <f t="shared" ref="C61:D61" si="49">C43*(1-C$63)</f>
        <v>4639.6273831995504</v>
      </c>
      <c r="D61" s="153">
        <f t="shared" si="49"/>
        <v>14545.79290024802</v>
      </c>
      <c r="E61" s="155">
        <f t="shared" ref="E61:H61" si="50">E43*(1-E$63)</f>
        <v>0.12869338725207366</v>
      </c>
      <c r="F61" s="155">
        <f t="shared" si="50"/>
        <v>0.22700382734025268</v>
      </c>
      <c r="G61" s="155">
        <f t="shared" si="50"/>
        <v>0.11503938277538664</v>
      </c>
      <c r="H61" s="155">
        <f t="shared" si="50"/>
        <v>0.17906516929216665</v>
      </c>
    </row>
    <row r="62" spans="1:8" x14ac:dyDescent="0.25">
      <c r="A62" s="80" t="s">
        <v>231</v>
      </c>
      <c r="B62" s="153">
        <f>B43*(1+B$63)</f>
        <v>10518.918023257653</v>
      </c>
      <c r="C62" s="153">
        <f t="shared" ref="C62:D62" si="51">C43*(1+C$63)</f>
        <v>4926.6146440160182</v>
      </c>
      <c r="D62" s="153">
        <f t="shared" si="51"/>
        <v>15445.53266727367</v>
      </c>
      <c r="E62" s="155">
        <f t="shared" ref="E62:H62" si="52">E43*(1+E$63)</f>
        <v>0.1366538029583875</v>
      </c>
      <c r="F62" s="155">
        <f t="shared" si="52"/>
        <v>0.24104530119635079</v>
      </c>
      <c r="G62" s="155">
        <f t="shared" si="52"/>
        <v>0.12215522088520436</v>
      </c>
      <c r="H62" s="155">
        <f t="shared" si="52"/>
        <v>0.1901413653308574</v>
      </c>
    </row>
    <row r="63" spans="1:8" x14ac:dyDescent="0.25">
      <c r="B63" s="154">
        <v>0.03</v>
      </c>
      <c r="C63" s="154">
        <v>0.03</v>
      </c>
      <c r="D63" s="154">
        <v>0.03</v>
      </c>
      <c r="E63" s="154">
        <v>0.03</v>
      </c>
      <c r="F63" s="154">
        <v>0.03</v>
      </c>
      <c r="G63" s="154">
        <v>0.03</v>
      </c>
      <c r="H63" s="154">
        <v>0.03</v>
      </c>
    </row>
  </sheetData>
  <sortState xmlns:xlrd2="http://schemas.microsoft.com/office/spreadsheetml/2017/richdata2" ref="A23:E38">
    <sortCondition descending="1" ref="B23:B38"/>
  </sortState>
  <pageMargins left="0.7" right="0.7" top="0.75" bottom="0.75" header="0.3" footer="0.3"/>
  <pageSetup orientation="portrait" horizontalDpi="90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5A449BC8-1324-4A67-8E27-175D6A1BBB81}">
            <x14:iconSet iconSet="3Triangles">
              <x14:cfvo type="percent">
                <xm:f>0</xm:f>
              </x14:cfvo>
              <x14:cfvo type="num">
                <xm:f>$H$61</xm:f>
              </x14:cfvo>
              <x14:cfvo type="num">
                <xm:f>$H$62</xm:f>
              </x14:cfvo>
            </x14:iconSet>
          </x14:cfRule>
          <xm:sqref>H43:H59</xm:sqref>
        </x14:conditionalFormatting>
        <x14:conditionalFormatting xmlns:xm="http://schemas.microsoft.com/office/excel/2006/main">
          <x14:cfRule type="iconSet" priority="6" id="{CE83EDB8-015F-4B82-8968-82F65A53209C}">
            <x14:iconSet iconSet="3Triangles">
              <x14:cfvo type="percent">
                <xm:f>0</xm:f>
              </x14:cfvo>
              <x14:cfvo type="num">
                <xm:f>$G$61</xm:f>
              </x14:cfvo>
              <x14:cfvo type="num">
                <xm:f>$G$62</xm:f>
              </x14:cfvo>
            </x14:iconSet>
          </x14:cfRule>
          <xm:sqref>G43:G59</xm:sqref>
        </x14:conditionalFormatting>
        <x14:conditionalFormatting xmlns:xm="http://schemas.microsoft.com/office/excel/2006/main">
          <x14:cfRule type="iconSet" priority="5" id="{53DF2D49-E111-4CEE-9CA4-E4C7D4717864}">
            <x14:iconSet iconSet="3Triangles">
              <x14:cfvo type="percent">
                <xm:f>0</xm:f>
              </x14:cfvo>
              <x14:cfvo type="num">
                <xm:f>$F$61</xm:f>
              </x14:cfvo>
              <x14:cfvo type="num">
                <xm:f>$F$62</xm:f>
              </x14:cfvo>
            </x14:iconSet>
          </x14:cfRule>
          <xm:sqref>F43:F59</xm:sqref>
        </x14:conditionalFormatting>
        <x14:conditionalFormatting xmlns:xm="http://schemas.microsoft.com/office/excel/2006/main">
          <x14:cfRule type="iconSet" priority="4" id="{BA670E8A-CF99-4C42-88EF-0F64B9E21B38}">
            <x14:iconSet iconSet="3Triangles">
              <x14:cfvo type="percent">
                <xm:f>0</xm:f>
              </x14:cfvo>
              <x14:cfvo type="num">
                <xm:f>$E$61</xm:f>
              </x14:cfvo>
              <x14:cfvo type="num">
                <xm:f>$E$62</xm:f>
              </x14:cfvo>
            </x14:iconSet>
          </x14:cfRule>
          <xm:sqref>E43:E59</xm:sqref>
        </x14:conditionalFormatting>
        <x14:conditionalFormatting xmlns:xm="http://schemas.microsoft.com/office/excel/2006/main">
          <x14:cfRule type="iconSet" priority="3" id="{A1F31ABF-DC55-4B82-8F11-C873D908048A}">
            <x14:iconSet iconSet="3Triangles">
              <x14:cfvo type="percent">
                <xm:f>0</xm:f>
              </x14:cfvo>
              <x14:cfvo type="num">
                <xm:f>$D$61</xm:f>
              </x14:cfvo>
              <x14:cfvo type="num">
                <xm:f>$D$62</xm:f>
              </x14:cfvo>
            </x14:iconSet>
          </x14:cfRule>
          <xm:sqref>D43:D59</xm:sqref>
        </x14:conditionalFormatting>
        <x14:conditionalFormatting xmlns:xm="http://schemas.microsoft.com/office/excel/2006/main">
          <x14:cfRule type="iconSet" priority="2" id="{FB581868-B764-4CC7-8D5F-68680D6F2A37}">
            <x14:iconSet iconSet="3Triangles">
              <x14:cfvo type="percent">
                <xm:f>0</xm:f>
              </x14:cfvo>
              <x14:cfvo type="num">
                <xm:f>$C$61</xm:f>
              </x14:cfvo>
              <x14:cfvo type="num">
                <xm:f>$C$62</xm:f>
              </x14:cfvo>
            </x14:iconSet>
          </x14:cfRule>
          <xm:sqref>C43:C59</xm:sqref>
        </x14:conditionalFormatting>
        <x14:conditionalFormatting xmlns:xm="http://schemas.microsoft.com/office/excel/2006/main">
          <x14:cfRule type="iconSet" priority="1" id="{B32FABBB-6BA2-4771-A3F5-D940B7E080EF}">
            <x14:iconSet iconSet="3Triangles">
              <x14:cfvo type="percent">
                <xm:f>0</xm:f>
              </x14:cfvo>
              <x14:cfvo type="num">
                <xm:f>$B$61</xm:f>
              </x14:cfvo>
              <x14:cfvo type="num">
                <xm:f>$B$62</xm:f>
              </x14:cfvo>
            </x14:iconSet>
          </x14:cfRule>
          <xm:sqref>B43:B59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2:Y24"/>
  <sheetViews>
    <sheetView workbookViewId="0">
      <selection activeCell="S19" sqref="S19"/>
    </sheetView>
  </sheetViews>
  <sheetFormatPr defaultRowHeight="12.75" x14ac:dyDescent="0.2"/>
  <cols>
    <col min="1" max="1" width="55.28515625" style="33" bestFit="1" customWidth="1"/>
    <col min="2" max="25" width="5" style="33" bestFit="1" customWidth="1"/>
    <col min="26" max="16384" width="9.140625" style="33"/>
  </cols>
  <sheetData>
    <row r="2" spans="1:25" x14ac:dyDescent="0.2">
      <c r="B2" s="34"/>
      <c r="C2" s="34">
        <v>2023</v>
      </c>
      <c r="D2" s="34">
        <v>2024</v>
      </c>
      <c r="E2" s="34">
        <v>2025</v>
      </c>
      <c r="F2" s="34">
        <v>2026</v>
      </c>
      <c r="G2" s="34">
        <v>2027</v>
      </c>
      <c r="H2" s="34">
        <v>2028</v>
      </c>
      <c r="I2" s="34">
        <v>2029</v>
      </c>
      <c r="J2" s="34">
        <v>2030</v>
      </c>
      <c r="K2" s="34">
        <v>2031</v>
      </c>
      <c r="L2" s="34">
        <v>2032</v>
      </c>
      <c r="M2" s="34">
        <v>2033</v>
      </c>
      <c r="N2" s="34">
        <v>2034</v>
      </c>
      <c r="O2" s="34">
        <v>2035</v>
      </c>
      <c r="P2" s="34">
        <v>2036</v>
      </c>
      <c r="Q2" s="34">
        <v>2037</v>
      </c>
      <c r="R2" s="34">
        <v>2038</v>
      </c>
      <c r="S2" s="34">
        <v>2039</v>
      </c>
      <c r="T2" s="34">
        <v>2040</v>
      </c>
      <c r="U2" s="34">
        <v>2041</v>
      </c>
      <c r="V2" s="34">
        <v>2042</v>
      </c>
      <c r="W2" s="34">
        <v>2043</v>
      </c>
      <c r="X2" s="34">
        <v>2044</v>
      </c>
      <c r="Y2" s="34">
        <v>2045</v>
      </c>
    </row>
    <row r="3" spans="1:25" x14ac:dyDescent="0.2">
      <c r="A3" s="35" t="s">
        <v>44</v>
      </c>
      <c r="B3" s="36"/>
      <c r="C3" s="36">
        <v>1.425725052120896</v>
      </c>
      <c r="D3" s="36">
        <v>1.5728914725892613</v>
      </c>
      <c r="E3" s="36">
        <v>1.4952402422719464</v>
      </c>
      <c r="F3" s="36">
        <v>1.4922093815351607</v>
      </c>
      <c r="G3" s="36">
        <v>1.4329042999731518</v>
      </c>
      <c r="H3" s="36">
        <v>1.4184150619134281</v>
      </c>
      <c r="I3" s="36">
        <v>1.3845054987276737</v>
      </c>
      <c r="J3" s="36">
        <v>1.4482233725931652</v>
      </c>
      <c r="K3" s="36">
        <v>1.3178533229172604</v>
      </c>
      <c r="L3" s="36">
        <v>1.2400831169937785</v>
      </c>
      <c r="M3" s="36">
        <v>1.2104176768359198</v>
      </c>
      <c r="N3" s="36">
        <v>1.1830499255774227</v>
      </c>
      <c r="O3" s="36">
        <v>1.184735001764377</v>
      </c>
      <c r="P3" s="36">
        <v>1.1632062461186194</v>
      </c>
      <c r="Q3" s="36">
        <v>1.1328432924979432</v>
      </c>
      <c r="R3" s="36">
        <v>1.0838943776333174</v>
      </c>
      <c r="S3" s="36">
        <v>1.0693811198868441</v>
      </c>
      <c r="T3" s="36">
        <v>1.051925766649793</v>
      </c>
      <c r="U3" s="36">
        <v>1.0095941009765625</v>
      </c>
      <c r="V3" s="36">
        <v>0.63625085715494789</v>
      </c>
      <c r="W3" s="36">
        <v>0.63683496030598963</v>
      </c>
      <c r="X3" s="36">
        <v>0.69541616561848962</v>
      </c>
      <c r="Y3" s="36">
        <v>0.159892515235</v>
      </c>
    </row>
    <row r="4" spans="1:25" x14ac:dyDescent="0.2">
      <c r="A4" s="35" t="s">
        <v>45</v>
      </c>
      <c r="B4" s="36"/>
      <c r="C4" s="36">
        <v>1.4534799679166666</v>
      </c>
      <c r="D4" s="36">
        <v>1.3943502360416666</v>
      </c>
      <c r="E4" s="36">
        <v>1.2244184332291668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</row>
    <row r="5" spans="1:25" x14ac:dyDescent="0.2">
      <c r="A5" s="35" t="s">
        <v>46</v>
      </c>
      <c r="B5" s="36"/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0.10597466476569671</v>
      </c>
      <c r="O5" s="36">
        <v>0.11004503696341782</v>
      </c>
      <c r="P5" s="36">
        <v>0.11015279434572144</v>
      </c>
      <c r="Q5" s="36">
        <v>0.10924082496059875</v>
      </c>
      <c r="R5" s="36">
        <v>0.10844413854022295</v>
      </c>
      <c r="S5" s="36">
        <v>0.10876366504040337</v>
      </c>
      <c r="T5" s="36">
        <v>0.1110618489929123</v>
      </c>
      <c r="U5" s="36">
        <v>0.16244521701346215</v>
      </c>
      <c r="V5" s="36">
        <v>0.29072223507180744</v>
      </c>
      <c r="W5" s="36">
        <v>0.29475410239181687</v>
      </c>
      <c r="X5" s="36">
        <v>0.33301150191134726</v>
      </c>
      <c r="Y5" s="36">
        <v>0.4006960352269171</v>
      </c>
    </row>
    <row r="6" spans="1:25" x14ac:dyDescent="0.2">
      <c r="A6" s="35" t="s">
        <v>72</v>
      </c>
      <c r="B6" s="36"/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</row>
    <row r="7" spans="1:25" ht="13.5" thickBot="1" x14ac:dyDescent="0.25">
      <c r="A7" s="35" t="s">
        <v>47</v>
      </c>
      <c r="B7" s="36"/>
      <c r="C7" s="36">
        <v>-0.37205542641497674</v>
      </c>
      <c r="D7" s="36">
        <v>-0.5140247392744639</v>
      </c>
      <c r="E7" s="36">
        <v>-0.45195432746446373</v>
      </c>
      <c r="F7" s="36">
        <v>-0.13454467772946924</v>
      </c>
      <c r="G7" s="36">
        <v>9.9322253411847153E-2</v>
      </c>
      <c r="H7" s="36">
        <v>0.15466819241987742</v>
      </c>
      <c r="I7" s="36">
        <v>0.17246260710886463</v>
      </c>
      <c r="J7" s="36">
        <v>5.1573982396952989E-3</v>
      </c>
      <c r="K7" s="36">
        <v>5.034748317553861E-2</v>
      </c>
      <c r="L7" s="36">
        <v>-1.1313749863138947E-2</v>
      </c>
      <c r="M7" s="36">
        <v>-7.6602441014260669E-2</v>
      </c>
      <c r="N7" s="36">
        <v>2.9454578078570375E-2</v>
      </c>
      <c r="O7" s="36">
        <v>4.2185073854652928E-2</v>
      </c>
      <c r="P7" s="36">
        <v>6.9155089624084592E-2</v>
      </c>
      <c r="Q7" s="36">
        <v>0.10714679310378694</v>
      </c>
      <c r="R7" s="36">
        <v>0.1407883369127996</v>
      </c>
      <c r="S7" s="36">
        <v>0.23734587890047826</v>
      </c>
      <c r="T7" s="36">
        <v>0.28458234368389085</v>
      </c>
      <c r="U7" s="36">
        <v>9.4328610095860299E-2</v>
      </c>
      <c r="V7" s="36">
        <v>3.4106751875070528E-2</v>
      </c>
      <c r="W7" s="36">
        <v>0.11636980920717929</v>
      </c>
      <c r="X7" s="36">
        <v>0.10894742036216186</v>
      </c>
      <c r="Y7" s="36">
        <v>0.11780067327845986</v>
      </c>
    </row>
    <row r="8" spans="1:25" ht="13.5" thickBot="1" x14ac:dyDescent="0.25">
      <c r="A8" s="37" t="s">
        <v>48</v>
      </c>
      <c r="B8" s="38"/>
      <c r="C8" s="38">
        <f t="shared" ref="C8:Y8" si="0">SUM(C3:C7)</f>
        <v>2.5071495936225858</v>
      </c>
      <c r="D8" s="38">
        <f t="shared" si="0"/>
        <v>2.4532169693564638</v>
      </c>
      <c r="E8" s="38">
        <f t="shared" si="0"/>
        <v>2.2677043480366494</v>
      </c>
      <c r="F8" s="38">
        <f t="shared" si="0"/>
        <v>1.3576647038056915</v>
      </c>
      <c r="G8" s="38">
        <f t="shared" si="0"/>
        <v>1.532226553384999</v>
      </c>
      <c r="H8" s="38">
        <f t="shared" si="0"/>
        <v>1.5730832543333055</v>
      </c>
      <c r="I8" s="38">
        <f t="shared" si="0"/>
        <v>1.5569681058365383</v>
      </c>
      <c r="J8" s="38">
        <f t="shared" si="0"/>
        <v>1.4533807708328605</v>
      </c>
      <c r="K8" s="38">
        <f t="shared" si="0"/>
        <v>1.368200806092799</v>
      </c>
      <c r="L8" s="38">
        <f t="shared" si="0"/>
        <v>1.2287693671306394</v>
      </c>
      <c r="M8" s="38">
        <f t="shared" si="0"/>
        <v>1.1338152358216591</v>
      </c>
      <c r="N8" s="38">
        <f t="shared" si="0"/>
        <v>1.3184791684216899</v>
      </c>
      <c r="O8" s="38">
        <f t="shared" si="0"/>
        <v>1.3369651125824478</v>
      </c>
      <c r="P8" s="38">
        <f t="shared" si="0"/>
        <v>1.3425141300884256</v>
      </c>
      <c r="Q8" s="38">
        <f t="shared" si="0"/>
        <v>1.349230910562329</v>
      </c>
      <c r="R8" s="38">
        <f t="shared" si="0"/>
        <v>1.3331268530863398</v>
      </c>
      <c r="S8" s="38">
        <f t="shared" si="0"/>
        <v>1.4154906638277258</v>
      </c>
      <c r="T8" s="38">
        <f t="shared" si="0"/>
        <v>1.447569959326596</v>
      </c>
      <c r="U8" s="38">
        <f t="shared" si="0"/>
        <v>1.2663679280858851</v>
      </c>
      <c r="V8" s="38">
        <f t="shared" si="0"/>
        <v>0.9610798441018259</v>
      </c>
      <c r="W8" s="38">
        <f t="shared" si="0"/>
        <v>1.0479588719049857</v>
      </c>
      <c r="X8" s="38">
        <f t="shared" si="0"/>
        <v>1.1373750878919988</v>
      </c>
      <c r="Y8" s="38">
        <f t="shared" si="0"/>
        <v>0.67838922374037702</v>
      </c>
    </row>
    <row r="9" spans="1:25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x14ac:dyDescent="0.2">
      <c r="A10" s="35" t="s">
        <v>49</v>
      </c>
      <c r="B10" s="36"/>
      <c r="C10" s="36">
        <v>8.1213380844608482E-2</v>
      </c>
      <c r="D10" s="36">
        <v>8.6197861729006051E-2</v>
      </c>
      <c r="E10" s="36">
        <v>8.1334815009487332E-2</v>
      </c>
      <c r="F10" s="36">
        <v>7.917182376539153E-2</v>
      </c>
      <c r="G10" s="36">
        <v>7.4760389248144737E-2</v>
      </c>
      <c r="H10" s="36">
        <v>7.218447881095176E-2</v>
      </c>
      <c r="I10" s="36">
        <v>7.0424162294157808E-2</v>
      </c>
      <c r="J10" s="36">
        <v>7.3816151394783522E-2</v>
      </c>
      <c r="K10" s="36">
        <v>6.8092400504370265E-2</v>
      </c>
      <c r="L10" s="36">
        <v>6.4663480865562797E-2</v>
      </c>
      <c r="M10" s="36">
        <v>6.2765619164080119E-2</v>
      </c>
      <c r="N10" s="36">
        <v>6.0988422782322103E-2</v>
      </c>
      <c r="O10" s="36">
        <v>6.0603699601035406E-2</v>
      </c>
      <c r="P10" s="36">
        <v>5.9497175890153166E-2</v>
      </c>
      <c r="Q10" s="36">
        <v>5.7759438359211046E-2</v>
      </c>
      <c r="R10" s="36">
        <v>5.4766569435732368E-2</v>
      </c>
      <c r="S10" s="36">
        <v>5.3832310464699253E-2</v>
      </c>
      <c r="T10" s="36">
        <v>5.2401395364510391E-2</v>
      </c>
      <c r="U10" s="36">
        <v>5.1357355599842155E-2</v>
      </c>
      <c r="V10" s="36">
        <v>2.7625916423671654E-2</v>
      </c>
      <c r="W10" s="36">
        <v>2.7441387980331116E-2</v>
      </c>
      <c r="X10" s="36">
        <v>2.9414201992443323E-2</v>
      </c>
      <c r="Y10" s="36">
        <v>0</v>
      </c>
    </row>
    <row r="11" spans="1:25" x14ac:dyDescent="0.2">
      <c r="A11" s="35" t="s">
        <v>50</v>
      </c>
      <c r="B11" s="36"/>
      <c r="C11" s="36">
        <v>6.4489112019740719E-3</v>
      </c>
      <c r="D11" s="36">
        <v>6.37125379438362E-3</v>
      </c>
      <c r="E11" s="36">
        <v>5.7696521074515686E-3</v>
      </c>
      <c r="F11" s="36">
        <v>4.3584535871625764E-3</v>
      </c>
      <c r="G11" s="36">
        <v>3.9582240595011668E-3</v>
      </c>
      <c r="H11" s="36">
        <v>3.7014163518227124E-3</v>
      </c>
      <c r="I11" s="36">
        <v>3.6494387577123803E-3</v>
      </c>
      <c r="J11" s="36">
        <v>1.2205712101670757E-2</v>
      </c>
      <c r="K11" s="36">
        <v>1.1786186431766444E-2</v>
      </c>
      <c r="L11" s="36">
        <v>2.1766236191304279E-2</v>
      </c>
      <c r="M11" s="36">
        <v>2.1558837003424449E-2</v>
      </c>
      <c r="N11" s="36">
        <v>2.1461497350537706E-2</v>
      </c>
      <c r="O11" s="36">
        <v>2.1592104674489659E-2</v>
      </c>
      <c r="P11" s="36">
        <v>2.1745016949051212E-2</v>
      </c>
      <c r="Q11" s="36">
        <v>2.1669028371372891E-2</v>
      </c>
      <c r="R11" s="36">
        <v>2.1443191630751732E-2</v>
      </c>
      <c r="S11" s="36">
        <v>2.1482322277571284E-2</v>
      </c>
      <c r="T11" s="36">
        <v>2.1496280257913822E-2</v>
      </c>
      <c r="U11" s="36">
        <v>2.1482001842713393E-2</v>
      </c>
      <c r="V11" s="36">
        <v>2.1553875262636593E-2</v>
      </c>
      <c r="W11" s="36">
        <v>2.3365172090786264E-2</v>
      </c>
      <c r="X11" s="36">
        <v>2.6727044401765085E-2</v>
      </c>
      <c r="Y11" s="36">
        <v>3.2460120569823225E-2</v>
      </c>
    </row>
    <row r="14" spans="1:25" x14ac:dyDescent="0.2">
      <c r="A14" s="33" t="s">
        <v>51</v>
      </c>
      <c r="B14" s="36"/>
      <c r="C14" s="36">
        <f>C3+C4</f>
        <v>2.8792050200375625</v>
      </c>
      <c r="D14" s="36">
        <f t="shared" ref="D14:Y14" si="1">D3+D4</f>
        <v>2.9672417086309277</v>
      </c>
      <c r="E14" s="36">
        <f t="shared" si="1"/>
        <v>2.7196586755011132</v>
      </c>
      <c r="F14" s="36">
        <f t="shared" si="1"/>
        <v>1.4922093815351607</v>
      </c>
      <c r="G14" s="36">
        <f t="shared" si="1"/>
        <v>1.4329042999731518</v>
      </c>
      <c r="H14" s="36">
        <f t="shared" si="1"/>
        <v>1.4184150619134281</v>
      </c>
      <c r="I14" s="36">
        <f t="shared" si="1"/>
        <v>1.3845054987276737</v>
      </c>
      <c r="J14" s="36">
        <f t="shared" si="1"/>
        <v>1.4482233725931652</v>
      </c>
      <c r="K14" s="36">
        <f t="shared" si="1"/>
        <v>1.3178533229172604</v>
      </c>
      <c r="L14" s="36">
        <f t="shared" si="1"/>
        <v>1.2400831169937785</v>
      </c>
      <c r="M14" s="36">
        <f t="shared" si="1"/>
        <v>1.2104176768359198</v>
      </c>
      <c r="N14" s="36">
        <f t="shared" si="1"/>
        <v>1.1830499255774227</v>
      </c>
      <c r="O14" s="36">
        <f t="shared" si="1"/>
        <v>1.184735001764377</v>
      </c>
      <c r="P14" s="36">
        <f t="shared" si="1"/>
        <v>1.1632062461186194</v>
      </c>
      <c r="Q14" s="36">
        <f t="shared" si="1"/>
        <v>1.1328432924979432</v>
      </c>
      <c r="R14" s="36">
        <f t="shared" si="1"/>
        <v>1.0838943776333174</v>
      </c>
      <c r="S14" s="36">
        <f t="shared" si="1"/>
        <v>1.0693811198868441</v>
      </c>
      <c r="T14" s="36">
        <f t="shared" si="1"/>
        <v>1.051925766649793</v>
      </c>
      <c r="U14" s="36">
        <f t="shared" si="1"/>
        <v>1.0095941009765625</v>
      </c>
      <c r="V14" s="36">
        <f t="shared" si="1"/>
        <v>0.63625085715494789</v>
      </c>
      <c r="W14" s="36">
        <f t="shared" si="1"/>
        <v>0.63683496030598963</v>
      </c>
      <c r="X14" s="36">
        <f t="shared" si="1"/>
        <v>0.69541616561848962</v>
      </c>
      <c r="Y14" s="36">
        <f t="shared" si="1"/>
        <v>0.159892515235</v>
      </c>
    </row>
    <row r="15" spans="1:25" x14ac:dyDescent="0.2">
      <c r="A15" s="33" t="s">
        <v>43</v>
      </c>
      <c r="B15" s="36"/>
      <c r="C15" s="36">
        <f t="shared" ref="C15:Y15" si="2">SUM(C5:C5)</f>
        <v>0</v>
      </c>
      <c r="D15" s="36">
        <f t="shared" si="2"/>
        <v>0</v>
      </c>
      <c r="E15" s="36">
        <f t="shared" si="2"/>
        <v>0</v>
      </c>
      <c r="F15" s="36">
        <f t="shared" si="2"/>
        <v>0</v>
      </c>
      <c r="G15" s="36">
        <f t="shared" si="2"/>
        <v>0</v>
      </c>
      <c r="H15" s="36">
        <f t="shared" si="2"/>
        <v>0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6">
        <f t="shared" si="2"/>
        <v>0.10597466476569671</v>
      </c>
      <c r="O15" s="36">
        <f t="shared" si="2"/>
        <v>0.11004503696341782</v>
      </c>
      <c r="P15" s="36">
        <f t="shared" si="2"/>
        <v>0.11015279434572144</v>
      </c>
      <c r="Q15" s="36">
        <f t="shared" si="2"/>
        <v>0.10924082496059875</v>
      </c>
      <c r="R15" s="36">
        <f t="shared" si="2"/>
        <v>0.10844413854022295</v>
      </c>
      <c r="S15" s="36">
        <f t="shared" si="2"/>
        <v>0.10876366504040337</v>
      </c>
      <c r="T15" s="36">
        <f t="shared" si="2"/>
        <v>0.1110618489929123</v>
      </c>
      <c r="U15" s="36">
        <f t="shared" si="2"/>
        <v>0.16244521701346215</v>
      </c>
      <c r="V15" s="36">
        <f t="shared" si="2"/>
        <v>0.29072223507180744</v>
      </c>
      <c r="W15" s="36">
        <f t="shared" si="2"/>
        <v>0.29475410239181687</v>
      </c>
      <c r="X15" s="36">
        <f t="shared" si="2"/>
        <v>0.33301150191134726</v>
      </c>
      <c r="Y15" s="36">
        <f t="shared" si="2"/>
        <v>0.4006960352269171</v>
      </c>
    </row>
    <row r="16" spans="1:25" x14ac:dyDescent="0.2">
      <c r="A16" s="33" t="s">
        <v>53</v>
      </c>
      <c r="B16" s="36"/>
      <c r="C16" s="36">
        <f t="shared" ref="C16:Y16" si="3">C7</f>
        <v>-0.37205542641497674</v>
      </c>
      <c r="D16" s="36">
        <f>D7</f>
        <v>-0.5140247392744639</v>
      </c>
      <c r="E16" s="36">
        <f t="shared" si="3"/>
        <v>-0.45195432746446373</v>
      </c>
      <c r="F16" s="36">
        <f t="shared" si="3"/>
        <v>-0.13454467772946924</v>
      </c>
      <c r="G16" s="36">
        <f t="shared" si="3"/>
        <v>9.9322253411847153E-2</v>
      </c>
      <c r="H16" s="36">
        <f t="shared" si="3"/>
        <v>0.15466819241987742</v>
      </c>
      <c r="I16" s="36">
        <f t="shared" si="3"/>
        <v>0.17246260710886463</v>
      </c>
      <c r="J16" s="36">
        <f t="shared" si="3"/>
        <v>5.1573982396952989E-3</v>
      </c>
      <c r="K16" s="36">
        <f t="shared" si="3"/>
        <v>5.034748317553861E-2</v>
      </c>
      <c r="L16" s="36">
        <f t="shared" si="3"/>
        <v>-1.1313749863138947E-2</v>
      </c>
      <c r="M16" s="36">
        <f t="shared" si="3"/>
        <v>-7.6602441014260669E-2</v>
      </c>
      <c r="N16" s="36">
        <f t="shared" si="3"/>
        <v>2.9454578078570375E-2</v>
      </c>
      <c r="O16" s="36">
        <f t="shared" si="3"/>
        <v>4.2185073854652928E-2</v>
      </c>
      <c r="P16" s="36">
        <f t="shared" si="3"/>
        <v>6.9155089624084592E-2</v>
      </c>
      <c r="Q16" s="36">
        <f t="shared" si="3"/>
        <v>0.10714679310378694</v>
      </c>
      <c r="R16" s="36">
        <f t="shared" si="3"/>
        <v>0.1407883369127996</v>
      </c>
      <c r="S16" s="36">
        <f t="shared" si="3"/>
        <v>0.23734587890047826</v>
      </c>
      <c r="T16" s="36">
        <f t="shared" si="3"/>
        <v>0.28458234368389085</v>
      </c>
      <c r="U16" s="36">
        <f t="shared" si="3"/>
        <v>9.4328610095860299E-2</v>
      </c>
      <c r="V16" s="36">
        <f t="shared" si="3"/>
        <v>3.4106751875070528E-2</v>
      </c>
      <c r="W16" s="36">
        <f t="shared" si="3"/>
        <v>0.11636980920717929</v>
      </c>
      <c r="X16" s="36">
        <f t="shared" si="3"/>
        <v>0.10894742036216186</v>
      </c>
      <c r="Y16" s="36">
        <f t="shared" si="3"/>
        <v>0.11780067327845986</v>
      </c>
    </row>
    <row r="17" spans="1:25" x14ac:dyDescent="0.2">
      <c r="A17" s="33" t="s">
        <v>52</v>
      </c>
      <c r="B17" s="36"/>
      <c r="C17" s="36">
        <f t="shared" ref="C17:Y17" si="4">C10+C11</f>
        <v>8.766229204658256E-2</v>
      </c>
      <c r="D17" s="36">
        <f>D10+D11</f>
        <v>9.2569115523389672E-2</v>
      </c>
      <c r="E17" s="36">
        <f t="shared" si="4"/>
        <v>8.7104467116938894E-2</v>
      </c>
      <c r="F17" s="36">
        <f t="shared" si="4"/>
        <v>8.3530277352554111E-2</v>
      </c>
      <c r="G17" s="36">
        <f t="shared" si="4"/>
        <v>7.8718613307645902E-2</v>
      </c>
      <c r="H17" s="36">
        <f t="shared" si="4"/>
        <v>7.5885895162774469E-2</v>
      </c>
      <c r="I17" s="36">
        <f t="shared" si="4"/>
        <v>7.4073601051870192E-2</v>
      </c>
      <c r="J17" s="36">
        <f t="shared" si="4"/>
        <v>8.6021863496454284E-2</v>
      </c>
      <c r="K17" s="36">
        <f t="shared" si="4"/>
        <v>7.9878586936136711E-2</v>
      </c>
      <c r="L17" s="36">
        <f t="shared" si="4"/>
        <v>8.6429717056867084E-2</v>
      </c>
      <c r="M17" s="36">
        <f t="shared" si="4"/>
        <v>8.4324456167504572E-2</v>
      </c>
      <c r="N17" s="36">
        <f t="shared" si="4"/>
        <v>8.2449920132859816E-2</v>
      </c>
      <c r="O17" s="36">
        <f t="shared" si="4"/>
        <v>8.2195804275525058E-2</v>
      </c>
      <c r="P17" s="36">
        <f t="shared" si="4"/>
        <v>8.1242192839204377E-2</v>
      </c>
      <c r="Q17" s="36">
        <f t="shared" si="4"/>
        <v>7.942846673058393E-2</v>
      </c>
      <c r="R17" s="36">
        <f t="shared" si="4"/>
        <v>7.6209761066484097E-2</v>
      </c>
      <c r="S17" s="36">
        <f t="shared" si="4"/>
        <v>7.5314632742270543E-2</v>
      </c>
      <c r="T17" s="36">
        <f t="shared" si="4"/>
        <v>7.3897675622424219E-2</v>
      </c>
      <c r="U17" s="36">
        <f t="shared" si="4"/>
        <v>7.2839357442555541E-2</v>
      </c>
      <c r="V17" s="36">
        <f t="shared" si="4"/>
        <v>4.9179791686308247E-2</v>
      </c>
      <c r="W17" s="36">
        <f t="shared" si="4"/>
        <v>5.0806560071117376E-2</v>
      </c>
      <c r="X17" s="36">
        <f t="shared" si="4"/>
        <v>5.6141246394208408E-2</v>
      </c>
      <c r="Y17" s="36">
        <f t="shared" si="4"/>
        <v>3.2460120569823225E-2</v>
      </c>
    </row>
    <row r="18" spans="1:25" x14ac:dyDescent="0.2">
      <c r="A18" s="33" t="s">
        <v>56</v>
      </c>
      <c r="B18" s="36"/>
      <c r="C18" s="36">
        <f t="shared" ref="C18:Y18" si="5">SUM(C14:C17)</f>
        <v>2.5948118856691682</v>
      </c>
      <c r="D18" s="36">
        <f t="shared" si="5"/>
        <v>2.5457860848798535</v>
      </c>
      <c r="E18" s="36">
        <f t="shared" si="5"/>
        <v>2.3548088151535884</v>
      </c>
      <c r="F18" s="36">
        <f t="shared" si="5"/>
        <v>1.4411949811582456</v>
      </c>
      <c r="G18" s="36">
        <f t="shared" si="5"/>
        <v>1.6109451666926449</v>
      </c>
      <c r="H18" s="36">
        <f t="shared" si="5"/>
        <v>1.6489691494960801</v>
      </c>
      <c r="I18" s="36">
        <f t="shared" si="5"/>
        <v>1.6310417068884084</v>
      </c>
      <c r="J18" s="36">
        <f t="shared" si="5"/>
        <v>1.5394026343293148</v>
      </c>
      <c r="K18" s="36">
        <f t="shared" si="5"/>
        <v>1.4480793930289357</v>
      </c>
      <c r="L18" s="36">
        <f t="shared" si="5"/>
        <v>1.3151990841875065</v>
      </c>
      <c r="M18" s="36">
        <f t="shared" si="5"/>
        <v>1.2181396919891636</v>
      </c>
      <c r="N18" s="36">
        <f t="shared" si="5"/>
        <v>1.4009290885545498</v>
      </c>
      <c r="O18" s="36">
        <f t="shared" si="5"/>
        <v>1.4191609168579729</v>
      </c>
      <c r="P18" s="36">
        <f t="shared" si="5"/>
        <v>1.42375632292763</v>
      </c>
      <c r="Q18" s="36">
        <f t="shared" si="5"/>
        <v>1.428659377292913</v>
      </c>
      <c r="R18" s="36">
        <f t="shared" si="5"/>
        <v>1.4093366141528239</v>
      </c>
      <c r="S18" s="36">
        <f t="shared" si="5"/>
        <v>1.4908052965699963</v>
      </c>
      <c r="T18" s="36">
        <f t="shared" si="5"/>
        <v>1.5214676349490204</v>
      </c>
      <c r="U18" s="36">
        <f t="shared" si="5"/>
        <v>1.3392072855284405</v>
      </c>
      <c r="V18" s="36">
        <f t="shared" si="5"/>
        <v>1.0102596357881342</v>
      </c>
      <c r="W18" s="36">
        <f t="shared" si="5"/>
        <v>1.0987654319761031</v>
      </c>
      <c r="X18" s="36">
        <f t="shared" si="5"/>
        <v>1.1935163342862072</v>
      </c>
      <c r="Y18" s="36">
        <f t="shared" si="5"/>
        <v>0.71084934431020019</v>
      </c>
    </row>
    <row r="20" spans="1:25" x14ac:dyDescent="0.2">
      <c r="A20" s="33" t="s">
        <v>179</v>
      </c>
      <c r="C20" s="33">
        <v>2.8980000000000001</v>
      </c>
      <c r="D20" s="33">
        <v>2.8980000000000001</v>
      </c>
      <c r="E20" s="33">
        <v>2.8980000000000001</v>
      </c>
      <c r="F20" s="33">
        <v>2.8980000000000001</v>
      </c>
      <c r="G20" s="33">
        <v>2.8980000000000001</v>
      </c>
      <c r="H20" s="33">
        <v>2.8980000000000001</v>
      </c>
      <c r="I20" s="33">
        <v>2.8980000000000001</v>
      </c>
      <c r="J20" s="33">
        <v>2.8980000000000001</v>
      </c>
      <c r="K20" s="33">
        <v>2.8980000000000001</v>
      </c>
      <c r="L20" s="33">
        <v>2.8980000000000001</v>
      </c>
      <c r="M20" s="33">
        <v>2.8980000000000001</v>
      </c>
      <c r="N20" s="33">
        <v>2.8980000000000001</v>
      </c>
      <c r="O20" s="33">
        <v>2.8980000000000001</v>
      </c>
      <c r="P20" s="33">
        <v>2.8980000000000001</v>
      </c>
      <c r="Q20" s="33">
        <v>2.8980000000000001</v>
      </c>
      <c r="R20" s="33">
        <v>2.8980000000000001</v>
      </c>
      <c r="S20" s="33">
        <v>2.8980000000000001</v>
      </c>
      <c r="T20" s="33">
        <v>2.8980000000000001</v>
      </c>
      <c r="U20" s="33">
        <v>2.8980000000000001</v>
      </c>
      <c r="V20" s="33">
        <v>2.8980000000000001</v>
      </c>
      <c r="W20" s="33">
        <v>2.8980000000000001</v>
      </c>
      <c r="X20" s="33">
        <v>2.8980000000000001</v>
      </c>
      <c r="Y20" s="33">
        <v>2.8980000000000001</v>
      </c>
    </row>
    <row r="22" spans="1:25" x14ac:dyDescent="0.2">
      <c r="A22" s="33" t="s">
        <v>58</v>
      </c>
      <c r="C22" s="33">
        <v>1.2698990079750003</v>
      </c>
      <c r="D22" s="33">
        <v>1.193610607425001</v>
      </c>
      <c r="E22" s="33">
        <v>1.1952180924001992</v>
      </c>
    </row>
    <row r="24" spans="1:25" x14ac:dyDescent="0.2">
      <c r="A24" s="33" t="s">
        <v>59</v>
      </c>
      <c r="B24" s="36"/>
      <c r="C24" s="36">
        <f>C22+C14+C15</f>
        <v>4.1491040280125624</v>
      </c>
      <c r="D24" s="36">
        <f>D22+D14+D15</f>
        <v>4.1608523160559283</v>
      </c>
      <c r="E24" s="36">
        <f>E22+E14+E15</f>
        <v>3.9148767679013123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87CC-C23A-4FD0-8AC3-F9ED5F206A32}">
  <dimension ref="A4:P32"/>
  <sheetViews>
    <sheetView workbookViewId="0">
      <selection activeCell="D29" sqref="D29:D32"/>
    </sheetView>
  </sheetViews>
  <sheetFormatPr defaultRowHeight="15" x14ac:dyDescent="0.25"/>
  <cols>
    <col min="2" max="2" width="20.140625" customWidth="1"/>
    <col min="3" max="3" width="16.140625" bestFit="1" customWidth="1"/>
    <col min="4" max="4" width="16.140625" customWidth="1"/>
    <col min="5" max="5" width="20.140625" customWidth="1"/>
    <col min="8" max="8" width="9.5703125" bestFit="1" customWidth="1"/>
    <col min="11" max="11" width="19.42578125" bestFit="1" customWidth="1"/>
  </cols>
  <sheetData>
    <row r="4" spans="1:16" s="111" customFormat="1" ht="45" x14ac:dyDescent="0.25">
      <c r="B4" s="111" t="s">
        <v>168</v>
      </c>
      <c r="C4" s="111" t="s">
        <v>171</v>
      </c>
      <c r="D4" s="111" t="s">
        <v>172</v>
      </c>
      <c r="E4" s="111" t="s">
        <v>169</v>
      </c>
      <c r="H4" s="111" t="s">
        <v>170</v>
      </c>
      <c r="L4" s="111" t="s">
        <v>173</v>
      </c>
      <c r="M4" s="111" t="s">
        <v>174</v>
      </c>
      <c r="N4" s="111" t="s">
        <v>175</v>
      </c>
      <c r="O4" s="111" t="s">
        <v>176</v>
      </c>
      <c r="P4" s="111" t="s">
        <v>177</v>
      </c>
    </row>
    <row r="5" spans="1:16" x14ac:dyDescent="0.25">
      <c r="A5" s="2">
        <v>2023</v>
      </c>
      <c r="B5" s="50">
        <f>'Summary Data'!D4</f>
        <v>644.35381508278806</v>
      </c>
      <c r="C5" s="116">
        <v>2.5</v>
      </c>
      <c r="D5" s="50">
        <f>C5+B5</f>
        <v>646.85381508278806</v>
      </c>
      <c r="E5" s="50">
        <f>'Summary Data'!D32</f>
        <v>644.10513803436618</v>
      </c>
      <c r="F5" s="50">
        <f>D5-E5</f>
        <v>2.7486770484218823</v>
      </c>
      <c r="G5" s="50"/>
      <c r="K5" t="s">
        <v>178</v>
      </c>
      <c r="L5" s="118">
        <f>I11</f>
        <v>138.83823549342014</v>
      </c>
      <c r="M5" s="118">
        <f>I15</f>
        <v>157.64881610205796</v>
      </c>
      <c r="N5" s="118">
        <f>I19</f>
        <v>180.09398465834676</v>
      </c>
      <c r="O5" s="118">
        <f>I23</f>
        <v>208.36015159390126</v>
      </c>
      <c r="P5" s="118">
        <f>I27</f>
        <v>248.34061113705977</v>
      </c>
    </row>
    <row r="6" spans="1:16" x14ac:dyDescent="0.25">
      <c r="A6" s="2">
        <v>2024</v>
      </c>
      <c r="B6" s="50">
        <f>'Summary Data'!D5</f>
        <v>657.51430162498752</v>
      </c>
      <c r="C6" s="116">
        <f>C5*1.02</f>
        <v>2.5499999999999998</v>
      </c>
      <c r="D6" s="50">
        <f t="shared" ref="D6:D27" si="0">C6+B6</f>
        <v>660.06430162498748</v>
      </c>
      <c r="E6" s="50">
        <f>'Summary Data'!D33</f>
        <v>656.95299006866878</v>
      </c>
      <c r="F6" s="50">
        <f>D6-E6</f>
        <v>3.1113115563186966</v>
      </c>
      <c r="G6" s="50"/>
      <c r="K6" t="s">
        <v>194</v>
      </c>
      <c r="L6" s="118">
        <f>G11</f>
        <v>20.169064148347502</v>
      </c>
      <c r="M6" s="118">
        <f>G15</f>
        <v>31.889534398667251</v>
      </c>
      <c r="N6" s="118">
        <f>G19</f>
        <v>41.957910072839127</v>
      </c>
      <c r="O6" s="118">
        <f>G23</f>
        <v>63.432690245688491</v>
      </c>
      <c r="P6" s="118">
        <f>G27</f>
        <v>166.87953596926536</v>
      </c>
    </row>
    <row r="7" spans="1:16" x14ac:dyDescent="0.25">
      <c r="A7" s="2">
        <v>2025</v>
      </c>
      <c r="B7" s="50">
        <f>'Summary Data'!D6</f>
        <v>681.54533740636134</v>
      </c>
      <c r="C7" s="116">
        <f t="shared" ref="C7:C27" si="1">C6*1.02</f>
        <v>2.601</v>
      </c>
      <c r="D7" s="50">
        <f t="shared" si="0"/>
        <v>684.14633740636134</v>
      </c>
      <c r="E7" s="50">
        <f>'Summary Data'!D34</f>
        <v>680.58351473498999</v>
      </c>
      <c r="F7" s="50">
        <f>D7-E7</f>
        <v>3.5628226713713502</v>
      </c>
      <c r="G7" s="50"/>
      <c r="H7" s="115">
        <f>E7*0.02</f>
        <v>13.611670294699801</v>
      </c>
      <c r="K7" t="s">
        <v>193</v>
      </c>
      <c r="L7" s="118">
        <f>L5-L6</f>
        <v>118.66917134507264</v>
      </c>
      <c r="M7" s="118">
        <f>M5-M6</f>
        <v>125.75928170339071</v>
      </c>
      <c r="N7" s="118">
        <f>N5-N6</f>
        <v>138.13607458550763</v>
      </c>
      <c r="O7" s="118">
        <f>O5-O6</f>
        <v>144.92746134821277</v>
      </c>
      <c r="P7" s="118">
        <f>P5-P6</f>
        <v>81.461075167794405</v>
      </c>
    </row>
    <row r="8" spans="1:16" x14ac:dyDescent="0.25">
      <c r="A8" s="112">
        <v>2026</v>
      </c>
      <c r="B8" s="113">
        <f>'Summary Data'!D7</f>
        <v>690.74075559956827</v>
      </c>
      <c r="C8" s="116">
        <f t="shared" si="1"/>
        <v>2.6530200000000002</v>
      </c>
      <c r="D8" s="50">
        <f t="shared" si="0"/>
        <v>693.39377559956824</v>
      </c>
      <c r="E8" s="113">
        <f>'Summary Data'!D35</f>
        <v>689.31026332150327</v>
      </c>
      <c r="F8" s="50">
        <f>D8-E8</f>
        <v>4.0835122780649726</v>
      </c>
      <c r="G8" s="50"/>
      <c r="H8" s="115">
        <f>E8*0.02</f>
        <v>13.786205266430066</v>
      </c>
    </row>
    <row r="9" spans="1:16" x14ac:dyDescent="0.25">
      <c r="A9" s="112">
        <v>2027</v>
      </c>
      <c r="B9" s="113">
        <f>'Summary Data'!D8</f>
        <v>710.4530822144585</v>
      </c>
      <c r="C9" s="116">
        <f t="shared" si="1"/>
        <v>2.7060804000000003</v>
      </c>
      <c r="D9" s="50">
        <f t="shared" si="0"/>
        <v>713.15916261445852</v>
      </c>
      <c r="E9" s="113">
        <f>'Summary Data'!D36</f>
        <v>708.47677315135297</v>
      </c>
      <c r="F9" s="50">
        <f>D9-E9</f>
        <v>4.6823894631055509</v>
      </c>
      <c r="G9" s="50"/>
      <c r="H9" s="115">
        <f>E9*0.02</f>
        <v>14.16953546302706</v>
      </c>
    </row>
    <row r="10" spans="1:16" x14ac:dyDescent="0.25">
      <c r="A10" s="112">
        <v>2028</v>
      </c>
      <c r="B10" s="113">
        <f>'Summary Data'!D9</f>
        <v>737.28306675060855</v>
      </c>
      <c r="C10" s="116">
        <f t="shared" si="1"/>
        <v>2.7602020080000003</v>
      </c>
      <c r="D10" s="50">
        <f t="shared" si="0"/>
        <v>740.04326875860852</v>
      </c>
      <c r="E10" s="113">
        <f>'Summary Data'!D37</f>
        <v>734.69337946383075</v>
      </c>
      <c r="F10" s="50">
        <f t="shared" ref="F10:F27" si="2">D10-E10</f>
        <v>5.3498892947777676</v>
      </c>
      <c r="G10" s="50"/>
      <c r="H10" s="115">
        <f t="shared" ref="H10:H26" si="3">E10*0.02</f>
        <v>14.693867589276616</v>
      </c>
    </row>
    <row r="11" spans="1:16" x14ac:dyDescent="0.25">
      <c r="A11" s="112">
        <v>2029</v>
      </c>
      <c r="B11" s="113">
        <f>'Summary Data'!D10</f>
        <v>762.42702552223614</v>
      </c>
      <c r="C11" s="116">
        <f t="shared" si="1"/>
        <v>2.8154060481600003</v>
      </c>
      <c r="D11" s="50">
        <f t="shared" si="0"/>
        <v>765.24243157039609</v>
      </c>
      <c r="E11" s="113">
        <f>'Summary Data'!D38</f>
        <v>759.18915845799688</v>
      </c>
      <c r="F11" s="50">
        <f t="shared" si="2"/>
        <v>6.0532731123992107</v>
      </c>
      <c r="G11" s="114">
        <f>SUM(F8:F11)</f>
        <v>20.169064148347502</v>
      </c>
      <c r="H11" s="115">
        <f>E11*0.02</f>
        <v>15.183783169159938</v>
      </c>
      <c r="I11" s="114">
        <f>(H7*4)+(H8*3)+(H9*2)+H10</f>
        <v>138.83823549342014</v>
      </c>
    </row>
    <row r="12" spans="1:16" x14ac:dyDescent="0.25">
      <c r="A12" s="2">
        <v>2030</v>
      </c>
      <c r="B12" s="50">
        <f>'Summary Data'!D11</f>
        <v>788.63083806091254</v>
      </c>
      <c r="C12" s="116">
        <f t="shared" si="1"/>
        <v>2.8717141691232002</v>
      </c>
      <c r="D12" s="50">
        <f t="shared" si="0"/>
        <v>791.50255223003569</v>
      </c>
      <c r="E12" s="50">
        <f>'Summary Data'!D39</f>
        <v>784.75946742180122</v>
      </c>
      <c r="F12" s="50">
        <f t="shared" si="2"/>
        <v>6.743084808234471</v>
      </c>
      <c r="G12" s="50"/>
      <c r="H12" s="115">
        <f t="shared" si="3"/>
        <v>15.695189348436024</v>
      </c>
    </row>
    <row r="13" spans="1:16" x14ac:dyDescent="0.25">
      <c r="A13" s="2">
        <v>2031</v>
      </c>
      <c r="B13" s="50">
        <f>'Summary Data'!D12</f>
        <v>823.58036613404056</v>
      </c>
      <c r="C13" s="116">
        <f t="shared" si="1"/>
        <v>2.9291484525056641</v>
      </c>
      <c r="D13" s="50">
        <f t="shared" si="0"/>
        <v>826.50951458654617</v>
      </c>
      <c r="E13" s="50">
        <f>'Summary Data'!D40</f>
        <v>819.07088819241369</v>
      </c>
      <c r="F13" s="50">
        <f t="shared" si="2"/>
        <v>7.4386263941324842</v>
      </c>
      <c r="G13" s="50"/>
      <c r="H13" s="115">
        <f t="shared" si="3"/>
        <v>16.381417763848273</v>
      </c>
    </row>
    <row r="14" spans="1:16" x14ac:dyDescent="0.25">
      <c r="A14" s="2">
        <v>2032</v>
      </c>
      <c r="B14" s="50">
        <f>'Summary Data'!D13</f>
        <v>858.36959163551273</v>
      </c>
      <c r="C14" s="116">
        <f t="shared" si="1"/>
        <v>2.9877314215557775</v>
      </c>
      <c r="D14" s="50">
        <f t="shared" si="0"/>
        <v>861.35732305706847</v>
      </c>
      <c r="E14" s="50">
        <f>'Summary Data'!D41</f>
        <v>853.26399262067957</v>
      </c>
      <c r="F14" s="50">
        <f t="shared" si="2"/>
        <v>8.0933304363888965</v>
      </c>
      <c r="G14" s="50"/>
      <c r="H14" s="115">
        <f t="shared" si="3"/>
        <v>17.065279852413592</v>
      </c>
    </row>
    <row r="15" spans="1:16" x14ac:dyDescent="0.25">
      <c r="A15" s="2">
        <v>2033</v>
      </c>
      <c r="B15" s="50">
        <f>'Summary Data'!D14</f>
        <v>885.38887709908681</v>
      </c>
      <c r="C15" s="116">
        <f t="shared" si="1"/>
        <v>3.047486049986893</v>
      </c>
      <c r="D15" s="50">
        <f t="shared" si="0"/>
        <v>888.43636314907371</v>
      </c>
      <c r="E15" s="50">
        <f>'Summary Data'!D42</f>
        <v>878.82187038916231</v>
      </c>
      <c r="F15" s="50">
        <f t="shared" si="2"/>
        <v>9.6144927599113998</v>
      </c>
      <c r="G15" s="114">
        <f>SUM(F12:F15)</f>
        <v>31.889534398667251</v>
      </c>
      <c r="H15" s="115">
        <f t="shared" si="3"/>
        <v>17.576437407783246</v>
      </c>
      <c r="I15" s="114">
        <f>(H11*4)+(H12*3)+(H13*2)+H14</f>
        <v>157.64881610205796</v>
      </c>
    </row>
    <row r="16" spans="1:16" x14ac:dyDescent="0.25">
      <c r="A16" s="112">
        <v>2034</v>
      </c>
      <c r="B16" s="113">
        <f>'Summary Data'!D15</f>
        <v>897.47146292632749</v>
      </c>
      <c r="C16" s="116">
        <f t="shared" si="1"/>
        <v>3.108435770986631</v>
      </c>
      <c r="D16" s="50">
        <f t="shared" si="0"/>
        <v>900.57989869731409</v>
      </c>
      <c r="E16" s="113">
        <f>'Summary Data'!D43</f>
        <v>891.19111559275734</v>
      </c>
      <c r="F16" s="50">
        <f t="shared" si="2"/>
        <v>9.3887831045567509</v>
      </c>
      <c r="G16" s="50"/>
      <c r="H16" s="115">
        <f t="shared" si="3"/>
        <v>17.823822311855146</v>
      </c>
    </row>
    <row r="17" spans="1:12" x14ac:dyDescent="0.25">
      <c r="A17" s="112">
        <v>2035</v>
      </c>
      <c r="B17" s="113">
        <f>'Summary Data'!D16</f>
        <v>930.39333049735421</v>
      </c>
      <c r="C17" s="116">
        <f t="shared" si="1"/>
        <v>3.1706044864063636</v>
      </c>
      <c r="D17" s="50">
        <f t="shared" si="0"/>
        <v>933.56393498376053</v>
      </c>
      <c r="E17" s="113">
        <f>'Summary Data'!D44</f>
        <v>923.47392677855169</v>
      </c>
      <c r="F17" s="50">
        <f t="shared" si="2"/>
        <v>10.090008205208846</v>
      </c>
      <c r="G17" s="50"/>
      <c r="H17" s="115">
        <f t="shared" si="3"/>
        <v>18.469478535571035</v>
      </c>
    </row>
    <row r="18" spans="1:12" x14ac:dyDescent="0.25">
      <c r="A18" s="112">
        <v>2036</v>
      </c>
      <c r="B18" s="113">
        <f>'Summary Data'!D17</f>
        <v>976.48842589826234</v>
      </c>
      <c r="C18" s="116">
        <f t="shared" si="1"/>
        <v>3.2340165761344908</v>
      </c>
      <c r="D18" s="50">
        <f t="shared" si="0"/>
        <v>979.72244247439687</v>
      </c>
      <c r="E18" s="113">
        <f>'Summary Data'!D45</f>
        <v>968.89055102531393</v>
      </c>
      <c r="F18" s="50">
        <f t="shared" si="2"/>
        <v>10.831891449082946</v>
      </c>
      <c r="G18" s="50"/>
      <c r="H18" s="115">
        <f t="shared" si="3"/>
        <v>19.377811020506279</v>
      </c>
    </row>
    <row r="19" spans="1:12" x14ac:dyDescent="0.25">
      <c r="A19" s="112">
        <v>2037</v>
      </c>
      <c r="B19" s="113">
        <f>'Summary Data'!D18</f>
        <v>1010.5173385551569</v>
      </c>
      <c r="C19" s="116">
        <f t="shared" si="1"/>
        <v>3.2986969076571806</v>
      </c>
      <c r="D19" s="50">
        <f t="shared" si="0"/>
        <v>1013.8160354628141</v>
      </c>
      <c r="E19" s="113">
        <f>'Summary Data'!D46</f>
        <v>1002.1688081488235</v>
      </c>
      <c r="F19" s="50">
        <f t="shared" si="2"/>
        <v>11.647227313990584</v>
      </c>
      <c r="G19" s="114">
        <f>SUM(F16:F19)</f>
        <v>41.957910072839127</v>
      </c>
      <c r="H19" s="115">
        <f t="shared" si="3"/>
        <v>20.043376162976468</v>
      </c>
      <c r="I19" s="114">
        <f>(H15*4)+(H16*3)+(H17*2)+H18</f>
        <v>180.09398465834676</v>
      </c>
    </row>
    <row r="20" spans="1:12" x14ac:dyDescent="0.25">
      <c r="A20" s="2">
        <v>2038</v>
      </c>
      <c r="B20" s="50">
        <f>'Summary Data'!D19</f>
        <v>1043.7055451682263</v>
      </c>
      <c r="C20" s="116">
        <f t="shared" si="1"/>
        <v>3.3646708458103243</v>
      </c>
      <c r="D20" s="50">
        <f t="shared" si="0"/>
        <v>1047.0702160140365</v>
      </c>
      <c r="E20" s="50">
        <f>'Summary Data'!D47</f>
        <v>1034.508169073822</v>
      </c>
      <c r="F20" s="50">
        <f t="shared" si="2"/>
        <v>12.562046940214486</v>
      </c>
      <c r="G20" s="50"/>
      <c r="H20" s="115">
        <f>E20*0.02</f>
        <v>20.690163381476442</v>
      </c>
    </row>
    <row r="21" spans="1:12" x14ac:dyDescent="0.25">
      <c r="A21" s="2">
        <v>2039</v>
      </c>
      <c r="B21" s="50">
        <f>'Summary Data'!D20</f>
        <v>1102.2015646858899</v>
      </c>
      <c r="C21" s="116">
        <f t="shared" si="1"/>
        <v>3.431964262726531</v>
      </c>
      <c r="D21" s="50">
        <f t="shared" si="0"/>
        <v>1105.6335289486165</v>
      </c>
      <c r="E21" s="50">
        <f>'Summary Data'!D48</f>
        <v>1092.1113764999686</v>
      </c>
      <c r="F21" s="50">
        <f t="shared" si="2"/>
        <v>13.52215244864783</v>
      </c>
      <c r="G21" s="50"/>
      <c r="H21" s="115">
        <f t="shared" si="3"/>
        <v>21.842227529999374</v>
      </c>
    </row>
    <row r="22" spans="1:12" x14ac:dyDescent="0.25">
      <c r="A22" s="2">
        <v>2040</v>
      </c>
      <c r="B22" s="50">
        <f>'Summary Data'!D21</f>
        <v>1132.6063521572923</v>
      </c>
      <c r="C22" s="116">
        <f t="shared" si="1"/>
        <v>3.5006035479810618</v>
      </c>
      <c r="D22" s="50">
        <f t="shared" si="0"/>
        <v>1136.1069557052733</v>
      </c>
      <c r="E22" s="50">
        <f>'Summary Data'!D49</f>
        <v>1121.5850868783655</v>
      </c>
      <c r="F22" s="50">
        <f t="shared" si="2"/>
        <v>14.521868826907848</v>
      </c>
      <c r="G22" s="50"/>
      <c r="H22" s="115">
        <f t="shared" si="3"/>
        <v>22.431701737567309</v>
      </c>
    </row>
    <row r="23" spans="1:12" x14ac:dyDescent="0.25">
      <c r="A23" s="2">
        <v>2041</v>
      </c>
      <c r="B23" s="50">
        <f>'Summary Data'!D22</f>
        <v>1180.0569700379704</v>
      </c>
      <c r="C23" s="116">
        <f t="shared" si="1"/>
        <v>3.5706156189406832</v>
      </c>
      <c r="D23" s="50">
        <f t="shared" si="0"/>
        <v>1183.6275856569112</v>
      </c>
      <c r="E23" s="50">
        <f>'Summary Data'!D50</f>
        <v>1160.8009636269928</v>
      </c>
      <c r="F23" s="50">
        <f>D23-E23</f>
        <v>22.826622029918326</v>
      </c>
      <c r="G23" s="114">
        <f>SUM(F20:F23)</f>
        <v>63.432690245688491</v>
      </c>
      <c r="H23" s="115">
        <f t="shared" si="3"/>
        <v>23.216019272539857</v>
      </c>
      <c r="I23" s="114">
        <f>(H19*4)+(H20*3)+(H21*2)+H22</f>
        <v>208.36015159390126</v>
      </c>
    </row>
    <row r="24" spans="1:12" x14ac:dyDescent="0.25">
      <c r="A24" s="112">
        <v>2042</v>
      </c>
      <c r="B24" s="113">
        <f>'Summary Data'!D23</f>
        <v>1274.6454815950792</v>
      </c>
      <c r="C24" s="116">
        <f t="shared" si="1"/>
        <v>3.6420279313194968</v>
      </c>
      <c r="D24" s="50">
        <f>C24+B24</f>
        <v>1278.2875095263987</v>
      </c>
      <c r="E24" s="113">
        <f>'Summary Data'!D51</f>
        <v>1254.4872319627789</v>
      </c>
      <c r="F24" s="50">
        <f>D24-E24</f>
        <v>23.800277563619829</v>
      </c>
      <c r="G24" s="50"/>
      <c r="H24" s="115">
        <f>E24*0.02</f>
        <v>25.089744639255578</v>
      </c>
      <c r="L24" s="50"/>
    </row>
    <row r="25" spans="1:12" x14ac:dyDescent="0.25">
      <c r="A25" s="112">
        <v>2043</v>
      </c>
      <c r="B25" s="113">
        <f>'Summary Data'!D24</f>
        <v>1339.4792530470138</v>
      </c>
      <c r="C25" s="116">
        <f t="shared" si="1"/>
        <v>3.7148684899458866</v>
      </c>
      <c r="D25" s="50">
        <f t="shared" si="0"/>
        <v>1343.1941215369598</v>
      </c>
      <c r="E25" s="113">
        <f>'Summary Data'!D52</f>
        <v>1317.1093532885936</v>
      </c>
      <c r="F25" s="50">
        <f>D25-E25</f>
        <v>26.084768248366117</v>
      </c>
      <c r="G25" s="50"/>
      <c r="H25" s="115">
        <f t="shared" si="3"/>
        <v>26.342187065771874</v>
      </c>
      <c r="L25" s="50"/>
    </row>
    <row r="26" spans="1:12" x14ac:dyDescent="0.25">
      <c r="A26" s="112">
        <v>2044</v>
      </c>
      <c r="B26" s="113">
        <f>'Summary Data'!D25</f>
        <v>1404.9488297794392</v>
      </c>
      <c r="C26" s="116">
        <f t="shared" si="1"/>
        <v>3.7891658597448044</v>
      </c>
      <c r="D26" s="50">
        <f t="shared" si="0"/>
        <v>1408.737995639184</v>
      </c>
      <c r="E26" s="113">
        <f>'Summary Data'!D53</f>
        <v>1376.1462998794921</v>
      </c>
      <c r="F26" s="50">
        <f t="shared" si="2"/>
        <v>32.591695759691902</v>
      </c>
      <c r="G26" s="50"/>
      <c r="H26" s="115">
        <f t="shared" si="3"/>
        <v>27.522925997589841</v>
      </c>
      <c r="L26" s="50"/>
    </row>
    <row r="27" spans="1:12" x14ac:dyDescent="0.25">
      <c r="A27" s="112">
        <v>2045</v>
      </c>
      <c r="B27" s="113">
        <f>'Summary Data'!D26</f>
        <v>1617.3799134045134</v>
      </c>
      <c r="C27" s="116">
        <f t="shared" si="1"/>
        <v>3.8649491769397004</v>
      </c>
      <c r="D27" s="50">
        <f t="shared" si="0"/>
        <v>1621.2448625814532</v>
      </c>
      <c r="E27" s="113">
        <f>'Summary Data'!D54</f>
        <v>1536.8420681838656</v>
      </c>
      <c r="F27" s="50">
        <f t="shared" si="2"/>
        <v>84.402794397587513</v>
      </c>
      <c r="G27" s="114">
        <f>SUM(F24:F27)</f>
        <v>166.87953596926536</v>
      </c>
      <c r="H27" s="115"/>
      <c r="I27" s="114">
        <f>(H23*4)+(H24*3)+(H25*2)+H26</f>
        <v>248.34061113705977</v>
      </c>
      <c r="L27" s="50"/>
    </row>
    <row r="29" spans="1:12" x14ac:dyDescent="0.25">
      <c r="D29" s="117">
        <f>D24/E24</f>
        <v>1.0189721162218461</v>
      </c>
    </row>
    <row r="30" spans="1:12" x14ac:dyDescent="0.25">
      <c r="D30" s="117">
        <f>D25/E25</f>
        <v>1.0198045577485553</v>
      </c>
    </row>
    <row r="31" spans="1:12" x14ac:dyDescent="0.25">
      <c r="D31" s="117">
        <f>D26/E26</f>
        <v>1.0236833073362519</v>
      </c>
    </row>
    <row r="32" spans="1:12" x14ac:dyDescent="0.25">
      <c r="D32" s="117">
        <f>D27/E27</f>
        <v>1.0549196278166233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AV28"/>
  <sheetViews>
    <sheetView topLeftCell="M1" workbookViewId="0">
      <selection activeCell="AG15" sqref="AG15"/>
    </sheetView>
  </sheetViews>
  <sheetFormatPr defaultRowHeight="12.75" x14ac:dyDescent="0.2"/>
  <cols>
    <col min="1" max="1" width="13.28515625" style="6" bestFit="1" customWidth="1"/>
    <col min="2" max="3" width="9.140625" style="6"/>
    <col min="4" max="4" width="13.42578125" style="6" customWidth="1"/>
    <col min="5" max="8" width="9.140625" style="6"/>
    <col min="9" max="9" width="12" style="6" bestFit="1" customWidth="1"/>
    <col min="10" max="10" width="10.85546875" style="6" bestFit="1" customWidth="1"/>
    <col min="11" max="11" width="9.140625" style="6"/>
    <col min="12" max="12" width="11.28515625" style="6" customWidth="1"/>
    <col min="13" max="20" width="9.140625" style="6"/>
    <col min="21" max="21" width="13.140625" style="6" customWidth="1"/>
    <col min="22" max="22" width="13.28515625" style="6" bestFit="1" customWidth="1"/>
    <col min="23" max="23" width="9" style="6" bestFit="1" customWidth="1"/>
    <col min="24" max="24" width="9.140625" style="6"/>
    <col min="25" max="25" width="4.42578125" style="6" customWidth="1"/>
    <col min="26" max="27" width="9.140625" style="6"/>
    <col min="28" max="28" width="14.85546875" style="42" bestFit="1" customWidth="1"/>
    <col min="29" max="34" width="10.85546875" style="6" customWidth="1"/>
    <col min="35" max="45" width="9.140625" style="6"/>
    <col min="46" max="47" width="10.28515625" style="6" bestFit="1" customWidth="1"/>
    <col min="48" max="16384" width="9.140625" style="6"/>
  </cols>
  <sheetData>
    <row r="1" spans="1:47" ht="16.5" customHeight="1" x14ac:dyDescent="0.2">
      <c r="A1" s="6" t="s">
        <v>33</v>
      </c>
      <c r="B1" s="18">
        <f>'Summary Data'!B1</f>
        <v>6.5100000000000005E-2</v>
      </c>
    </row>
    <row r="2" spans="1:47" ht="16.5" customHeight="1" x14ac:dyDescent="0.2">
      <c r="A2" s="6" t="s">
        <v>34</v>
      </c>
      <c r="B2" s="19">
        <v>0.02</v>
      </c>
      <c r="D2" s="202" t="s">
        <v>196</v>
      </c>
      <c r="E2" s="202"/>
      <c r="F2" s="202"/>
      <c r="G2" s="202"/>
      <c r="H2" s="202"/>
      <c r="I2" s="202"/>
      <c r="J2" s="202"/>
      <c r="L2" s="202" t="s">
        <v>197</v>
      </c>
      <c r="M2" s="202"/>
      <c r="N2" s="202"/>
      <c r="O2" s="202"/>
      <c r="P2" s="202"/>
      <c r="Q2" s="202"/>
      <c r="R2" s="202"/>
      <c r="U2" s="202" t="s">
        <v>57</v>
      </c>
      <c r="V2" s="202"/>
      <c r="W2" s="202"/>
      <c r="X2" s="202"/>
      <c r="Y2" s="202"/>
      <c r="Z2" s="202"/>
    </row>
    <row r="3" spans="1:47" ht="16.5" customHeight="1" x14ac:dyDescent="0.2">
      <c r="B3" s="19"/>
      <c r="D3" s="202" t="s">
        <v>188</v>
      </c>
      <c r="E3" s="202"/>
      <c r="F3" s="202"/>
      <c r="G3" s="202"/>
      <c r="H3" s="202"/>
      <c r="I3" s="202"/>
      <c r="J3" s="202"/>
      <c r="L3" s="202" t="s">
        <v>190</v>
      </c>
      <c r="M3" s="202"/>
      <c r="N3" s="202"/>
      <c r="O3" s="202"/>
      <c r="P3" s="202"/>
      <c r="Q3" s="202"/>
      <c r="R3" s="202"/>
      <c r="U3" s="202" t="s">
        <v>191</v>
      </c>
      <c r="V3" s="202"/>
      <c r="W3" s="202"/>
      <c r="X3" s="202"/>
      <c r="Y3" s="202"/>
      <c r="Z3" s="202"/>
    </row>
    <row r="4" spans="1:47" s="20" customFormat="1" ht="56.25" customHeight="1" x14ac:dyDescent="0.2">
      <c r="D4" s="20" t="s">
        <v>38</v>
      </c>
      <c r="E4" s="20" t="s">
        <v>39</v>
      </c>
      <c r="G4" s="20" t="s">
        <v>35</v>
      </c>
      <c r="I4" s="20" t="s">
        <v>37</v>
      </c>
      <c r="J4" s="20" t="s">
        <v>36</v>
      </c>
      <c r="L4" s="20" t="s">
        <v>38</v>
      </c>
      <c r="M4" s="20" t="s">
        <v>39</v>
      </c>
      <c r="O4" s="20" t="s">
        <v>35</v>
      </c>
      <c r="Q4" s="20" t="s">
        <v>37</v>
      </c>
      <c r="R4" s="20" t="s">
        <v>36</v>
      </c>
      <c r="U4" s="20" t="s">
        <v>40</v>
      </c>
      <c r="V4" s="20" t="s">
        <v>41</v>
      </c>
      <c r="X4" s="20" t="s">
        <v>40</v>
      </c>
      <c r="Z4" s="20" t="s">
        <v>42</v>
      </c>
      <c r="AB4" s="43" t="s">
        <v>0</v>
      </c>
      <c r="AC4" s="43" t="s">
        <v>198</v>
      </c>
      <c r="AD4" s="43" t="s">
        <v>199</v>
      </c>
      <c r="AE4" s="43" t="s">
        <v>200</v>
      </c>
      <c r="AF4" s="43" t="s">
        <v>54</v>
      </c>
      <c r="AG4" s="43" t="s">
        <v>201</v>
      </c>
      <c r="AH4" s="43" t="s">
        <v>189</v>
      </c>
      <c r="AT4" s="20" t="s">
        <v>192</v>
      </c>
      <c r="AU4" s="20" t="s">
        <v>168</v>
      </c>
    </row>
    <row r="5" spans="1:47" x14ac:dyDescent="0.2">
      <c r="C5" s="2">
        <v>2024</v>
      </c>
      <c r="D5" s="21">
        <f>'Summary Data'!F62-'Summary Data'!F92</f>
        <v>4.0472514228895307E-11</v>
      </c>
      <c r="E5" s="8">
        <f>('Summary Data'!R62+'Summary Data'!S62)-('Summary Data'!R92+'Summary Data'!S92)</f>
        <v>0</v>
      </c>
      <c r="F5" s="8"/>
      <c r="G5" s="21">
        <v>0</v>
      </c>
      <c r="I5" s="22">
        <v>0</v>
      </c>
      <c r="J5" s="23">
        <f>I5*E5/1000</f>
        <v>0</v>
      </c>
      <c r="L5" s="21">
        <f>'Summary Data'!F119-'Summary Data'!F92</f>
        <v>4.0472514228895307E-11</v>
      </c>
      <c r="M5" s="8">
        <f>('Summary Data'!R119+'Summary Data'!S119)-('Summary Data'!R92+'Summary Data'!S92)</f>
        <v>0</v>
      </c>
      <c r="N5" s="8"/>
      <c r="O5" s="21">
        <v>0</v>
      </c>
      <c r="Q5" s="22">
        <v>0</v>
      </c>
      <c r="R5" s="23">
        <f t="shared" ref="R5:R15" si="0">Q5*M5/1000</f>
        <v>0</v>
      </c>
      <c r="U5" s="24">
        <f>'Summary Data'!F5-'Summary Data'!F119</f>
        <v>-5.4601214634431017E-3</v>
      </c>
      <c r="V5" s="25">
        <f>'Summary Data'!V5+'Summary Data'!W5</f>
        <v>0.97729443319812614</v>
      </c>
      <c r="W5" s="26"/>
      <c r="X5" s="29">
        <v>0</v>
      </c>
      <c r="Y5" s="29"/>
      <c r="Z5" s="27">
        <f>X5/$V$28*1000</f>
        <v>0</v>
      </c>
      <c r="AB5" s="44">
        <v>2024</v>
      </c>
      <c r="AC5" s="40">
        <v>42.873621749877898</v>
      </c>
      <c r="AD5" s="40">
        <v>46.098650430043499</v>
      </c>
      <c r="AE5" s="40">
        <v>38.564434464772503</v>
      </c>
      <c r="AF5" s="41">
        <f>Z5</f>
        <v>0</v>
      </c>
      <c r="AG5" s="56">
        <f t="shared" ref="AG5:AG26" si="1">I5</f>
        <v>0</v>
      </c>
      <c r="AH5" s="56">
        <f t="shared" ref="AH5:AH14" si="2">Q5</f>
        <v>0</v>
      </c>
      <c r="AT5" s="122">
        <f>R5+X5+'Summary Data'!F92</f>
        <v>979.54754569793897</v>
      </c>
      <c r="AU5" s="122">
        <f>'Summary Data'!F5</f>
        <v>979.542085576516</v>
      </c>
    </row>
    <row r="6" spans="1:47" x14ac:dyDescent="0.2">
      <c r="C6" s="2">
        <v>2025</v>
      </c>
      <c r="D6" s="21">
        <f>'Summary Data'!F63-'Summary Data'!F93</f>
        <v>0.43157994758621498</v>
      </c>
      <c r="E6" s="8">
        <f>('Summary Data'!R63+'Summary Data'!S63)-('Summary Data'!R93+'Summary Data'!S93)</f>
        <v>0.4337254329704559</v>
      </c>
      <c r="F6" s="8"/>
      <c r="G6" s="21">
        <v>0</v>
      </c>
      <c r="I6" s="22">
        <v>0</v>
      </c>
      <c r="J6" s="23">
        <f>I6*E6/1000</f>
        <v>0</v>
      </c>
      <c r="L6" s="21">
        <f>'Summary Data'!F120-'Summary Data'!F93</f>
        <v>0.43157994758621498</v>
      </c>
      <c r="M6" s="8">
        <f>('Summary Data'!R120+'Summary Data'!S120)-('Summary Data'!R93+'Summary Data'!S93)</f>
        <v>0.4337254329704559</v>
      </c>
      <c r="N6" s="8"/>
      <c r="O6" s="21">
        <v>0</v>
      </c>
      <c r="Q6" s="22">
        <v>0</v>
      </c>
      <c r="R6" s="23">
        <f t="shared" si="0"/>
        <v>0</v>
      </c>
      <c r="U6" s="24">
        <f>'Summary Data'!F6-'Summary Data'!F120</f>
        <v>4.4022097861216025E-3</v>
      </c>
      <c r="V6" s="25">
        <f>'Summary Data'!V6+'Summary Data'!W6</f>
        <v>1.9714226177817513</v>
      </c>
      <c r="W6" s="26"/>
      <c r="X6" s="29">
        <v>0</v>
      </c>
      <c r="Y6" s="29"/>
      <c r="Z6" s="27">
        <f t="shared" ref="Z6:Z25" si="3">X6/$V$28*1000</f>
        <v>0</v>
      </c>
      <c r="AB6" s="44">
        <v>2025</v>
      </c>
      <c r="AC6" s="40">
        <v>35.865282484690297</v>
      </c>
      <c r="AD6" s="40">
        <v>38.334369958241801</v>
      </c>
      <c r="AE6" s="40">
        <v>32.569655993779499</v>
      </c>
      <c r="AF6" s="41">
        <f t="shared" ref="AF6:AF26" si="4">Z6</f>
        <v>0</v>
      </c>
      <c r="AG6" s="56">
        <f t="shared" si="1"/>
        <v>0</v>
      </c>
      <c r="AH6" s="56">
        <f t="shared" si="2"/>
        <v>0</v>
      </c>
      <c r="AT6" s="122">
        <f>R6+X6+'Summary Data'!F93</f>
        <v>1010.8390524531321</v>
      </c>
      <c r="AU6" s="122">
        <f>'Summary Data'!F6</f>
        <v>1011.2750346105045</v>
      </c>
    </row>
    <row r="7" spans="1:47" x14ac:dyDescent="0.2">
      <c r="C7" s="2">
        <v>2026</v>
      </c>
      <c r="D7" s="21">
        <f>'Summary Data'!F64-'Summary Data'!F94</f>
        <v>0.37096584163828084</v>
      </c>
      <c r="E7" s="8">
        <f>('Summary Data'!R64+'Summary Data'!S64)-('Summary Data'!R94+'Summary Data'!S94)</f>
        <v>1.3990557965225998</v>
      </c>
      <c r="F7" s="8"/>
      <c r="G7" s="21">
        <v>0</v>
      </c>
      <c r="I7" s="22">
        <v>0</v>
      </c>
      <c r="J7" s="23">
        <f>I7*E7/1000</f>
        <v>0</v>
      </c>
      <c r="L7" s="21">
        <f>'Summary Data'!F121-'Summary Data'!F94</f>
        <v>0.37096584163828084</v>
      </c>
      <c r="M7" s="8">
        <f>('Summary Data'!R121+'Summary Data'!S121)-('Summary Data'!R94+'Summary Data'!S94)</f>
        <v>1.3990557965225998</v>
      </c>
      <c r="N7" s="8"/>
      <c r="O7" s="21">
        <v>0</v>
      </c>
      <c r="Q7" s="22">
        <v>0</v>
      </c>
      <c r="R7" s="23">
        <f t="shared" si="0"/>
        <v>0</v>
      </c>
      <c r="U7" s="24">
        <f>'Summary Data'!F7-'Summary Data'!F121</f>
        <v>1.8792581860452628E-2</v>
      </c>
      <c r="V7" s="25">
        <f>'Summary Data'!V7+'Summary Data'!W7</f>
        <v>2.9826784510592139</v>
      </c>
      <c r="W7" s="26"/>
      <c r="X7" s="29">
        <v>0</v>
      </c>
      <c r="Y7" s="29"/>
      <c r="Z7" s="27">
        <f t="shared" si="3"/>
        <v>0</v>
      </c>
      <c r="AB7" s="44">
        <v>2026</v>
      </c>
      <c r="AC7" s="40">
        <v>33.241919565200803</v>
      </c>
      <c r="AD7" s="40">
        <v>35.074116395314498</v>
      </c>
      <c r="AE7" s="40">
        <v>30.796386346816998</v>
      </c>
      <c r="AF7" s="41">
        <f t="shared" si="4"/>
        <v>0</v>
      </c>
      <c r="AG7" s="56">
        <f t="shared" si="1"/>
        <v>0</v>
      </c>
      <c r="AH7" s="56">
        <f t="shared" si="2"/>
        <v>0</v>
      </c>
      <c r="AT7" s="122">
        <f>R7+X7+'Summary Data'!F94</f>
        <v>1030.1646824313707</v>
      </c>
      <c r="AU7" s="122">
        <f>'Summary Data'!F7</f>
        <v>1030.5544408548694</v>
      </c>
    </row>
    <row r="8" spans="1:47" x14ac:dyDescent="0.2">
      <c r="C8" s="2">
        <v>2027</v>
      </c>
      <c r="D8" s="21">
        <f>'Summary Data'!F65-'Summary Data'!F95</f>
        <v>0.26058027753197166</v>
      </c>
      <c r="E8" s="8">
        <f>('Summary Data'!R65+'Summary Data'!S65)-('Summary Data'!R95+'Summary Data'!S95)</f>
        <v>3.0856545396681039</v>
      </c>
      <c r="F8" s="8"/>
      <c r="G8" s="21">
        <v>0</v>
      </c>
      <c r="H8" s="21"/>
      <c r="I8" s="22">
        <v>0</v>
      </c>
      <c r="J8" s="23">
        <f>I8*E8/1000</f>
        <v>0</v>
      </c>
      <c r="L8" s="21">
        <f>'Summary Data'!F122-'Summary Data'!F95</f>
        <v>0.26058027753197166</v>
      </c>
      <c r="M8" s="8">
        <f>('Summary Data'!R122+'Summary Data'!S122)-('Summary Data'!R95+'Summary Data'!S95)</f>
        <v>3.0856545396681039</v>
      </c>
      <c r="N8" s="8"/>
      <c r="O8" s="21">
        <v>0</v>
      </c>
      <c r="P8" s="21"/>
      <c r="Q8" s="22">
        <v>0</v>
      </c>
      <c r="R8" s="23">
        <f t="shared" si="0"/>
        <v>0</v>
      </c>
      <c r="U8" s="24">
        <f>'Summary Data'!F8-'Summary Data'!F122</f>
        <v>4.7309132920418051E-2</v>
      </c>
      <c r="V8" s="25">
        <f>'Summary Data'!V8+'Summary Data'!W8</f>
        <v>4.0266198386105838</v>
      </c>
      <c r="W8" s="26"/>
      <c r="X8" s="29">
        <v>0</v>
      </c>
      <c r="Y8" s="29"/>
      <c r="Z8" s="27">
        <f t="shared" si="3"/>
        <v>0</v>
      </c>
      <c r="AB8" s="44">
        <v>2027</v>
      </c>
      <c r="AC8" s="40">
        <v>29.8873691940308</v>
      </c>
      <c r="AD8" s="40">
        <v>30.817101964950599</v>
      </c>
      <c r="AE8" s="40">
        <v>28.646403729120902</v>
      </c>
      <c r="AF8" s="41">
        <f>Z8</f>
        <v>0</v>
      </c>
      <c r="AG8" s="56">
        <f t="shared" si="1"/>
        <v>0</v>
      </c>
      <c r="AH8" s="56">
        <f t="shared" si="2"/>
        <v>0</v>
      </c>
      <c r="AT8" s="122">
        <f>R8+X8+'Summary Data'!F95</f>
        <v>1054.1609075182732</v>
      </c>
      <c r="AU8" s="122">
        <f>'Summary Data'!F8</f>
        <v>1054.4687969287256</v>
      </c>
    </row>
    <row r="9" spans="1:47" x14ac:dyDescent="0.2">
      <c r="C9" s="2">
        <v>2028</v>
      </c>
      <c r="D9" s="21">
        <f>'Summary Data'!F66-'Summary Data'!F96</f>
        <v>0.21466660835540097</v>
      </c>
      <c r="E9" s="8">
        <f>('Summary Data'!R66+'Summary Data'!S66)-('Summary Data'!R96+'Summary Data'!S96)</f>
        <v>3.6546611726717537</v>
      </c>
      <c r="F9" s="8"/>
      <c r="G9" s="21">
        <v>0</v>
      </c>
      <c r="H9" s="21"/>
      <c r="I9" s="22">
        <v>0</v>
      </c>
      <c r="J9" s="23">
        <f t="shared" ref="J9:J26" si="5">I9*E9/1000</f>
        <v>0</v>
      </c>
      <c r="L9" s="21">
        <f>'Summary Data'!F123-'Summary Data'!F96</f>
        <v>0.21466660835540097</v>
      </c>
      <c r="M9" s="8">
        <f>('Summary Data'!R123+'Summary Data'!S123)-('Summary Data'!R96+'Summary Data'!S96)</f>
        <v>3.6546611726717537</v>
      </c>
      <c r="N9" s="8"/>
      <c r="O9" s="21">
        <v>0</v>
      </c>
      <c r="P9" s="21"/>
      <c r="Q9" s="22">
        <v>0</v>
      </c>
      <c r="R9" s="23">
        <f t="shared" si="0"/>
        <v>0</v>
      </c>
      <c r="U9" s="24">
        <f>'Summary Data'!F9-'Summary Data'!F123</f>
        <v>7.1368956576634446E-2</v>
      </c>
      <c r="V9" s="25">
        <f>'Summary Data'!V9+'Summary Data'!W9</f>
        <v>5.0761915758607499</v>
      </c>
      <c r="W9" s="26"/>
      <c r="X9" s="29">
        <v>0</v>
      </c>
      <c r="Y9" s="29"/>
      <c r="Z9" s="27">
        <f t="shared" si="3"/>
        <v>0</v>
      </c>
      <c r="AB9" s="44">
        <v>2028</v>
      </c>
      <c r="AC9" s="40">
        <v>29.829273338317901</v>
      </c>
      <c r="AD9" s="40">
        <v>29.899579963684101</v>
      </c>
      <c r="AE9" s="40">
        <v>29.736027679443399</v>
      </c>
      <c r="AF9" s="41">
        <f t="shared" si="4"/>
        <v>0</v>
      </c>
      <c r="AG9" s="56">
        <f t="shared" si="1"/>
        <v>0</v>
      </c>
      <c r="AH9" s="56">
        <f t="shared" si="2"/>
        <v>0</v>
      </c>
      <c r="AT9" s="122">
        <f>R9+X9+'Summary Data'!F96</f>
        <v>1089.7682947695423</v>
      </c>
      <c r="AU9" s="122">
        <f>'Summary Data'!F9</f>
        <v>1090.0543303344743</v>
      </c>
    </row>
    <row r="10" spans="1:47" x14ac:dyDescent="0.2">
      <c r="C10" s="2">
        <v>2029</v>
      </c>
      <c r="D10" s="21">
        <f>'Summary Data'!F67-'Summary Data'!F97</f>
        <v>0.17912475310004083</v>
      </c>
      <c r="E10" s="8">
        <f>('Summary Data'!R67+'Summary Data'!S67)-('Summary Data'!R97+'Summary Data'!S97)</f>
        <v>3.8056307256595754</v>
      </c>
      <c r="F10" s="8"/>
      <c r="G10" s="21">
        <v>0</v>
      </c>
      <c r="H10" s="21"/>
      <c r="I10" s="22">
        <v>0</v>
      </c>
      <c r="J10" s="23">
        <f t="shared" si="5"/>
        <v>0</v>
      </c>
      <c r="L10" s="21">
        <f>'Summary Data'!F124-'Summary Data'!F97</f>
        <v>0.17912475310004083</v>
      </c>
      <c r="M10" s="8">
        <f>('Summary Data'!R124+'Summary Data'!S124)-('Summary Data'!R97+'Summary Data'!S97)</f>
        <v>3.8056307256595754</v>
      </c>
      <c r="N10" s="8"/>
      <c r="O10" s="21">
        <v>0</v>
      </c>
      <c r="P10" s="21"/>
      <c r="Q10" s="22">
        <v>0</v>
      </c>
      <c r="R10" s="23">
        <f t="shared" si="0"/>
        <v>0</v>
      </c>
      <c r="U10" s="24">
        <f>'Summary Data'!F10-'Summary Data'!F124</f>
        <v>9.5109078927634982E-2</v>
      </c>
      <c r="V10" s="25">
        <f>'Summary Data'!V10+'Summary Data'!W10</f>
        <v>6.2330758716267924</v>
      </c>
      <c r="W10" s="26"/>
      <c r="X10" s="29">
        <v>0</v>
      </c>
      <c r="Y10" s="29"/>
      <c r="Z10" s="27">
        <f t="shared" si="3"/>
        <v>0</v>
      </c>
      <c r="AB10" s="44">
        <v>2029</v>
      </c>
      <c r="AC10" s="40">
        <v>29.925695257186899</v>
      </c>
      <c r="AD10" s="40">
        <v>29.5231511116028</v>
      </c>
      <c r="AE10" s="40">
        <v>30.462993008295701</v>
      </c>
      <c r="AF10" s="41">
        <f t="shared" si="4"/>
        <v>0</v>
      </c>
      <c r="AG10" s="56">
        <f t="shared" si="1"/>
        <v>0</v>
      </c>
      <c r="AH10" s="56">
        <f t="shared" si="2"/>
        <v>0</v>
      </c>
      <c r="AT10" s="122">
        <f>R10+X10+'Summary Data'!F97</f>
        <v>1125.7745276983712</v>
      </c>
      <c r="AU10" s="122">
        <f>'Summary Data'!F10</f>
        <v>1126.0487615303989</v>
      </c>
    </row>
    <row r="11" spans="1:47" x14ac:dyDescent="0.2">
      <c r="C11" s="2">
        <v>2030</v>
      </c>
      <c r="D11" s="21">
        <f>'Summary Data'!F68-'Summary Data'!F98</f>
        <v>0.11683691101507065</v>
      </c>
      <c r="E11" s="8">
        <f>('Summary Data'!R68+'Summary Data'!S68)-('Summary Data'!R98+'Summary Data'!S98)</f>
        <v>18.031075523875149</v>
      </c>
      <c r="F11" s="8"/>
      <c r="G11" s="21">
        <v>0</v>
      </c>
      <c r="H11" s="21"/>
      <c r="I11" s="22">
        <v>0</v>
      </c>
      <c r="J11" s="23">
        <f t="shared" si="5"/>
        <v>0</v>
      </c>
      <c r="L11" s="21">
        <f>'Summary Data'!F125-'Summary Data'!F98</f>
        <v>0.11683691101507065</v>
      </c>
      <c r="M11" s="8">
        <f>('Summary Data'!R125+'Summary Data'!S125)-('Summary Data'!R98+'Summary Data'!S98)</f>
        <v>18.031075523875153</v>
      </c>
      <c r="N11" s="8"/>
      <c r="O11" s="21">
        <v>0</v>
      </c>
      <c r="P11" s="21"/>
      <c r="Q11" s="22">
        <v>0</v>
      </c>
      <c r="R11" s="23">
        <f t="shared" si="0"/>
        <v>0</v>
      </c>
      <c r="U11" s="24">
        <f>'Summary Data'!F11-'Summary Data'!F125</f>
        <v>0.10337297323462735</v>
      </c>
      <c r="V11" s="25">
        <f>'Summary Data'!V11+'Summary Data'!W11</f>
        <v>666.52483931614165</v>
      </c>
      <c r="W11" s="26"/>
      <c r="X11" s="29">
        <v>0</v>
      </c>
      <c r="Y11" s="29"/>
      <c r="Z11" s="27">
        <f t="shared" si="3"/>
        <v>0</v>
      </c>
      <c r="AB11" s="44">
        <v>2030</v>
      </c>
      <c r="AC11" s="40">
        <v>34.649509878158597</v>
      </c>
      <c r="AD11" s="40">
        <v>33.658516441981</v>
      </c>
      <c r="AE11" s="40">
        <v>35.972242905298899</v>
      </c>
      <c r="AF11" s="41">
        <f t="shared" si="4"/>
        <v>0</v>
      </c>
      <c r="AG11" s="56">
        <f t="shared" si="1"/>
        <v>0</v>
      </c>
      <c r="AH11" s="56">
        <f t="shared" si="2"/>
        <v>0</v>
      </c>
      <c r="AT11" s="122">
        <f>R11+X11+'Summary Data'!F98</f>
        <v>1163.4654401323482</v>
      </c>
      <c r="AU11" s="122">
        <f>'Summary Data'!F11</f>
        <v>1163.6856500165979</v>
      </c>
    </row>
    <row r="12" spans="1:47" x14ac:dyDescent="0.2">
      <c r="C12" s="2">
        <v>2031</v>
      </c>
      <c r="D12" s="21">
        <f>'Summary Data'!F69-'Summary Data'!F99</f>
        <v>2.0092105729047489</v>
      </c>
      <c r="E12" s="8">
        <f>('Summary Data'!R69+'Summary Data'!S69)-('Summary Data'!R99+'Summary Data'!S99)</f>
        <v>17.714312410013072</v>
      </c>
      <c r="F12" s="8"/>
      <c r="G12" s="21">
        <v>0</v>
      </c>
      <c r="H12" s="21"/>
      <c r="I12" s="22">
        <v>0</v>
      </c>
      <c r="J12" s="23">
        <f t="shared" si="5"/>
        <v>0</v>
      </c>
      <c r="L12" s="21">
        <f>'Summary Data'!F126-'Summary Data'!F99</f>
        <v>1.46307414846342</v>
      </c>
      <c r="M12" s="8">
        <f>('Summary Data'!R126+'Summary Data'!S126)-('Summary Data'!R99+'Summary Data'!S99)</f>
        <v>17.397177885818845</v>
      </c>
      <c r="N12" s="8"/>
      <c r="O12" s="21">
        <v>0</v>
      </c>
      <c r="P12" s="21"/>
      <c r="Q12" s="22">
        <v>0</v>
      </c>
      <c r="R12" s="23">
        <f t="shared" si="0"/>
        <v>0</v>
      </c>
      <c r="U12" s="24">
        <f>'Summary Data'!F12-'Summary Data'!F126</f>
        <v>0.15177480684337752</v>
      </c>
      <c r="V12" s="25">
        <f>'Summary Data'!V12+'Summary Data'!W12</f>
        <v>666.28914895642924</v>
      </c>
      <c r="W12" s="26"/>
      <c r="X12" s="29">
        <v>0</v>
      </c>
      <c r="Y12" s="29"/>
      <c r="Z12" s="27">
        <f t="shared" si="3"/>
        <v>0</v>
      </c>
      <c r="AB12" s="44">
        <v>2031</v>
      </c>
      <c r="AC12" s="40">
        <v>32.5655074214935</v>
      </c>
      <c r="AD12" s="40">
        <v>31.5881829452515</v>
      </c>
      <c r="AE12" s="40">
        <v>33.869995829264298</v>
      </c>
      <c r="AF12" s="41">
        <f t="shared" si="4"/>
        <v>0</v>
      </c>
      <c r="AG12" s="56">
        <f t="shared" si="1"/>
        <v>0</v>
      </c>
      <c r="AH12" s="56">
        <f t="shared" si="2"/>
        <v>0</v>
      </c>
      <c r="AT12" s="122">
        <f>R12+X12+'Summary Data'!F99</f>
        <v>1211.2134030431425</v>
      </c>
      <c r="AU12" s="122">
        <f>'Summary Data'!F12</f>
        <v>1212.8282519984493</v>
      </c>
    </row>
    <row r="13" spans="1:47" x14ac:dyDescent="0.2">
      <c r="C13" s="2">
        <v>2032</v>
      </c>
      <c r="D13" s="21">
        <f>'Summary Data'!F70-'Summary Data'!F100</f>
        <v>7.6247575282520756</v>
      </c>
      <c r="E13" s="8">
        <f>('Summary Data'!R70+'Summary Data'!S70)-('Summary Data'!R100+'Summary Data'!S100)</f>
        <v>67.930356102204414</v>
      </c>
      <c r="F13" s="8"/>
      <c r="G13" s="21">
        <v>0</v>
      </c>
      <c r="H13" s="21"/>
      <c r="I13" s="22">
        <v>0</v>
      </c>
      <c r="J13" s="23">
        <f t="shared" si="5"/>
        <v>0</v>
      </c>
      <c r="L13" s="21">
        <f>'Summary Data'!F127-'Summary Data'!F100</f>
        <v>16.007140722296526</v>
      </c>
      <c r="M13" s="8">
        <f>('Summary Data'!R127+'Summary Data'!S127)-('Summary Data'!R100+'Summary Data'!S100)</f>
        <v>119.6049694073306</v>
      </c>
      <c r="N13" s="8"/>
      <c r="O13" s="21">
        <v>0</v>
      </c>
      <c r="P13" s="21"/>
      <c r="Q13" s="22">
        <v>0</v>
      </c>
      <c r="R13" s="23">
        <f t="shared" si="0"/>
        <v>0</v>
      </c>
      <c r="U13" s="24">
        <f>'Summary Data'!F13-'Summary Data'!F127</f>
        <v>-9.1646413187211238</v>
      </c>
      <c r="V13" s="25">
        <f>'Summary Data'!V13+'Summary Data'!W13</f>
        <v>1495.3176920500118</v>
      </c>
      <c r="W13" s="26"/>
      <c r="X13" s="29">
        <v>0</v>
      </c>
      <c r="Y13" s="29"/>
      <c r="Z13" s="27">
        <f t="shared" si="3"/>
        <v>0</v>
      </c>
      <c r="AB13" s="44">
        <v>2032</v>
      </c>
      <c r="AC13" s="40">
        <v>31.6313137849172</v>
      </c>
      <c r="AD13" s="40">
        <v>30.362197135289499</v>
      </c>
      <c r="AE13" s="40">
        <v>33.327069590886403</v>
      </c>
      <c r="AF13" s="41">
        <f t="shared" si="4"/>
        <v>0</v>
      </c>
      <c r="AG13" s="56">
        <f t="shared" si="1"/>
        <v>0</v>
      </c>
      <c r="AH13" s="56">
        <f t="shared" si="2"/>
        <v>0</v>
      </c>
      <c r="AT13" s="122">
        <f>R13+X13+'Summary Data'!F100</f>
        <v>1253.035935146768</v>
      </c>
      <c r="AU13" s="122">
        <f>'Summary Data'!F13</f>
        <v>1259.8784345503434</v>
      </c>
    </row>
    <row r="14" spans="1:47" x14ac:dyDescent="0.2">
      <c r="C14" s="2">
        <v>2033</v>
      </c>
      <c r="D14" s="21">
        <f>'Summary Data'!F71-'Summary Data'!F101</f>
        <v>6.7408359029395797</v>
      </c>
      <c r="E14" s="8">
        <f>('Summary Data'!R71+'Summary Data'!S71)-('Summary Data'!R101+'Summary Data'!S101)</f>
        <v>68.316295487435752</v>
      </c>
      <c r="F14" s="8"/>
      <c r="G14" s="21">
        <v>0</v>
      </c>
      <c r="H14" s="21"/>
      <c r="I14" s="22">
        <v>0</v>
      </c>
      <c r="J14" s="23">
        <f t="shared" si="5"/>
        <v>0</v>
      </c>
      <c r="L14" s="21">
        <f>'Summary Data'!F128-'Summary Data'!F101</f>
        <v>14.770226213543765</v>
      </c>
      <c r="M14" s="8">
        <f>('Summary Data'!R128+'Summary Data'!S128)-('Summary Data'!R101+'Summary Data'!S101)</f>
        <v>118.74487456961432</v>
      </c>
      <c r="N14" s="8"/>
      <c r="O14" s="21">
        <v>0</v>
      </c>
      <c r="P14" s="21"/>
      <c r="Q14" s="22">
        <v>0</v>
      </c>
      <c r="R14" s="23">
        <f t="shared" si="0"/>
        <v>0</v>
      </c>
      <c r="U14" s="24">
        <f>'Summary Data'!F14-'Summary Data'!F128</f>
        <v>-8.6732261495390048</v>
      </c>
      <c r="V14" s="25">
        <f>'Summary Data'!V14+'Summary Data'!W14</f>
        <v>1490.3457192427109</v>
      </c>
      <c r="W14" s="26"/>
      <c r="X14" s="29">
        <v>0</v>
      </c>
      <c r="Y14" s="29"/>
      <c r="Z14" s="27">
        <f t="shared" si="3"/>
        <v>0</v>
      </c>
      <c r="AB14" s="44">
        <v>2033</v>
      </c>
      <c r="AC14" s="40">
        <v>32.572067785263101</v>
      </c>
      <c r="AD14" s="40">
        <v>31.173604078292801</v>
      </c>
      <c r="AE14" s="40">
        <v>34.438673973083503</v>
      </c>
      <c r="AF14" s="41">
        <f t="shared" si="4"/>
        <v>0</v>
      </c>
      <c r="AG14" s="56">
        <f t="shared" si="1"/>
        <v>0</v>
      </c>
      <c r="AH14" s="56">
        <f t="shared" si="2"/>
        <v>0</v>
      </c>
      <c r="AT14" s="122">
        <f>R14+X14+'Summary Data'!F101</f>
        <v>1291.448317064762</v>
      </c>
      <c r="AU14" s="122">
        <f>'Summary Data'!F14</f>
        <v>1297.5453171287668</v>
      </c>
    </row>
    <row r="15" spans="1:47" x14ac:dyDescent="0.2">
      <c r="C15" s="2">
        <v>2034</v>
      </c>
      <c r="D15" s="21">
        <f>'Summary Data'!F72-'Summary Data'!F102</f>
        <v>6.0726649962066404</v>
      </c>
      <c r="E15" s="8">
        <f>('Summary Data'!R72+'Summary Data'!S72)-('Summary Data'!R102+'Summary Data'!S102)</f>
        <v>67.896050665708174</v>
      </c>
      <c r="F15" s="8"/>
      <c r="G15" s="30">
        <v>36.256706712165489</v>
      </c>
      <c r="H15" s="21"/>
      <c r="I15" s="31">
        <v>92.980500203896227</v>
      </c>
      <c r="J15" s="23">
        <f>I15*E15/1000</f>
        <v>6.3130087527666277</v>
      </c>
      <c r="L15" s="21">
        <f>'Summary Data'!F129-'Summary Data'!F102</f>
        <v>14.047634258256949</v>
      </c>
      <c r="M15" s="8">
        <f>('Summary Data'!R129+'Summary Data'!S129)-('Summary Data'!R102+'Summary Data'!S102)</f>
        <v>117.79335216938733</v>
      </c>
      <c r="N15" s="8"/>
      <c r="O15" s="30">
        <v>62.90938189807126</v>
      </c>
      <c r="P15" s="21"/>
      <c r="Q15" s="31">
        <v>156.26321217592817</v>
      </c>
      <c r="R15" s="23">
        <f t="shared" si="0"/>
        <v>18.4067675829588</v>
      </c>
      <c r="U15" s="24">
        <f>'Summary Data'!F15-'Summary Data'!F129</f>
        <v>2.5759801173962842</v>
      </c>
      <c r="V15" s="25">
        <f>'Summary Data'!V15+'Summary Data'!W15</f>
        <v>1684.7869135114643</v>
      </c>
      <c r="W15" s="26"/>
      <c r="X15" s="28">
        <v>3.3437940837983762</v>
      </c>
      <c r="Y15" s="29"/>
      <c r="Z15" s="27">
        <f t="shared" si="3"/>
        <v>3.7014125406922704</v>
      </c>
      <c r="AB15" s="44">
        <v>2034</v>
      </c>
      <c r="AC15" s="40">
        <v>33.110110464096103</v>
      </c>
      <c r="AD15" s="40">
        <v>31.5772496159871</v>
      </c>
      <c r="AE15" s="40">
        <v>35.140907090505003</v>
      </c>
      <c r="AF15" s="41">
        <f>Z15</f>
        <v>3.7014125406922704</v>
      </c>
      <c r="AG15" s="56">
        <f t="shared" si="1"/>
        <v>92.980500203896227</v>
      </c>
      <c r="AH15" s="56">
        <f>Q15-AG15</f>
        <v>63.282711972031947</v>
      </c>
      <c r="AT15" s="122">
        <f>R15+X15+'Summary Data'!F102</f>
        <v>1327.6670115707166</v>
      </c>
      <c r="AU15" s="122">
        <f>'Summary Data'!F15</f>
        <v>1322.5400642796126</v>
      </c>
    </row>
    <row r="16" spans="1:47" x14ac:dyDescent="0.2">
      <c r="C16" s="2">
        <v>2035</v>
      </c>
      <c r="D16" s="21">
        <f>'Summary Data'!F73-'Summary Data'!F103</f>
        <v>4.6168591831146841</v>
      </c>
      <c r="E16" s="8">
        <f>('Summary Data'!R73+'Summary Data'!S73)-('Summary Data'!R103+'Summary Data'!S103)</f>
        <v>72.200722806734191</v>
      </c>
      <c r="F16" s="8"/>
      <c r="G16" s="21">
        <f t="shared" ref="G16:G26" si="6">G15*(1+$B$2)</f>
        <v>36.981840846408801</v>
      </c>
      <c r="H16" s="21"/>
      <c r="I16" s="22">
        <f>I15*(1+$B$2)</f>
        <v>94.840110207974149</v>
      </c>
      <c r="J16" s="23">
        <f t="shared" si="5"/>
        <v>6.8475245080860629</v>
      </c>
      <c r="L16" s="21">
        <f>'Summary Data'!F130-'Summary Data'!F103</f>
        <v>11.719967943076881</v>
      </c>
      <c r="M16" s="8">
        <f>('Summary Data'!R130+'Summary Data'!S130)-('Summary Data'!R103+'Summary Data'!S103)</f>
        <v>116.94951886668895</v>
      </c>
      <c r="N16" s="8"/>
      <c r="O16" s="21">
        <f t="shared" ref="O16:O26" si="7">O15*(1+$B$2)</f>
        <v>64.167569536032687</v>
      </c>
      <c r="P16" s="21"/>
      <c r="Q16" s="22">
        <f>Q15*(1+$B$2)</f>
        <v>159.38847641944673</v>
      </c>
      <c r="R16" s="23">
        <f t="shared" ref="R16:R26" si="8">Q16*M16/1000</f>
        <v>18.640405630148894</v>
      </c>
      <c r="U16" s="24">
        <f>'Summary Data'!F16-'Summary Data'!F130</f>
        <v>2.4521473070049069</v>
      </c>
      <c r="V16" s="25">
        <f>'Summary Data'!V16+'Summary Data'!W16</f>
        <v>1698.9295260589661</v>
      </c>
      <c r="W16" s="26"/>
      <c r="X16" s="29">
        <f t="shared" ref="X16:X25" si="9">X15*(1+$B$2)</f>
        <v>3.4106699654743435</v>
      </c>
      <c r="Y16" s="29"/>
      <c r="Z16" s="27">
        <f t="shared" si="3"/>
        <v>3.7754407915061154</v>
      </c>
      <c r="AB16" s="44">
        <v>2035</v>
      </c>
      <c r="AC16" s="40">
        <v>34.4146997038523</v>
      </c>
      <c r="AD16" s="40">
        <v>32.395849920908603</v>
      </c>
      <c r="AE16" s="40">
        <v>37.109369115829502</v>
      </c>
      <c r="AF16" s="41">
        <f t="shared" si="4"/>
        <v>3.7754407915061154</v>
      </c>
      <c r="AG16" s="56">
        <f t="shared" si="1"/>
        <v>94.840110207974149</v>
      </c>
      <c r="AH16" s="56">
        <f t="shared" ref="AH16:AH26" si="10">Q16-AG16</f>
        <v>64.548366211472583</v>
      </c>
      <c r="AT16" s="122">
        <f>R16+X16+'Summary Data'!F103</f>
        <v>1378.9575248204048</v>
      </c>
      <c r="AU16" s="122">
        <f>'Summary Data'!F16</f>
        <v>1371.0785644748635</v>
      </c>
    </row>
    <row r="17" spans="3:48" x14ac:dyDescent="0.2">
      <c r="C17" s="2">
        <v>2036</v>
      </c>
      <c r="D17" s="21">
        <f>'Summary Data'!F74-'Summary Data'!F104</f>
        <v>17.914374787915676</v>
      </c>
      <c r="E17" s="8">
        <f>('Summary Data'!R74+'Summary Data'!S74)-('Summary Data'!R104+'Summary Data'!S104)</f>
        <v>183.12405587354462</v>
      </c>
      <c r="F17" s="8"/>
      <c r="G17" s="21">
        <f t="shared" si="6"/>
        <v>37.721477663336977</v>
      </c>
      <c r="H17" s="21"/>
      <c r="I17" s="22">
        <f t="shared" ref="I17:I26" si="11">I16*(1+$B$2)</f>
        <v>96.736912412133634</v>
      </c>
      <c r="J17" s="23">
        <f t="shared" si="5"/>
        <v>17.714855753593749</v>
      </c>
      <c r="L17" s="21">
        <f>'Summary Data'!F131-'Summary Data'!F104</f>
        <v>26.628838573492658</v>
      </c>
      <c r="M17" s="8">
        <f>('Summary Data'!R131+'Summary Data'!S131)-('Summary Data'!R104+'Summary Data'!S104)</f>
        <v>193.60981946874819</v>
      </c>
      <c r="N17" s="8"/>
      <c r="O17" s="21">
        <f t="shared" si="7"/>
        <v>65.450920926753341</v>
      </c>
      <c r="P17" s="21"/>
      <c r="Q17" s="22">
        <f t="shared" ref="Q17:Q26" si="12">Q16*(1+$B$2)</f>
        <v>162.57624594783567</v>
      </c>
      <c r="R17" s="23">
        <f t="shared" si="8"/>
        <v>31.476357627867269</v>
      </c>
      <c r="U17" s="24">
        <f>'Summary Data'!F17-'Summary Data'!F131</f>
        <v>4.8502834545861333</v>
      </c>
      <c r="V17" s="25">
        <f>'Summary Data'!V17+'Summary Data'!W17</f>
        <v>1710.366424079489</v>
      </c>
      <c r="W17" s="26"/>
      <c r="X17" s="29">
        <f t="shared" si="9"/>
        <v>3.4788833647838304</v>
      </c>
      <c r="Y17" s="29"/>
      <c r="Z17" s="27">
        <f t="shared" si="3"/>
        <v>3.8509496073362377</v>
      </c>
      <c r="AB17" s="44">
        <v>2036</v>
      </c>
      <c r="AC17" s="40">
        <v>35.059311106999701</v>
      </c>
      <c r="AD17" s="40">
        <v>32.835452947616602</v>
      </c>
      <c r="AE17" s="40">
        <v>38.0307638772329</v>
      </c>
      <c r="AF17" s="41">
        <f t="shared" si="4"/>
        <v>3.8509496073362377</v>
      </c>
      <c r="AG17" s="56">
        <f t="shared" si="1"/>
        <v>96.736912412133634</v>
      </c>
      <c r="AH17" s="56">
        <f t="shared" si="10"/>
        <v>65.839333535702039</v>
      </c>
      <c r="AT17" s="122">
        <f>R17+X17+'Summary Data'!F104</f>
        <v>1434.7724326267821</v>
      </c>
      <c r="AU17" s="122">
        <f>'Summary Data'!F17</f>
        <v>1431.2963136622097</v>
      </c>
    </row>
    <row r="18" spans="3:48" x14ac:dyDescent="0.2">
      <c r="C18" s="2">
        <v>2037</v>
      </c>
      <c r="D18" s="21">
        <f>'Summary Data'!F75-'Summary Data'!F105</f>
        <v>15.526944219279358</v>
      </c>
      <c r="E18" s="8">
        <f>('Summary Data'!R75+'Summary Data'!S75)-('Summary Data'!R105+'Summary Data'!S105)</f>
        <v>182.11235258042154</v>
      </c>
      <c r="F18" s="8"/>
      <c r="G18" s="21">
        <f t="shared" si="6"/>
        <v>38.475907216603716</v>
      </c>
      <c r="H18" s="21"/>
      <c r="I18" s="22">
        <f t="shared" si="11"/>
        <v>98.671650660376315</v>
      </c>
      <c r="J18" s="23">
        <f t="shared" si="5"/>
        <v>17.969326434754635</v>
      </c>
      <c r="L18" s="21">
        <f>'Summary Data'!F132-'Summary Data'!F105</f>
        <v>24.382625939082573</v>
      </c>
      <c r="M18" s="8">
        <f>('Summary Data'!R132+'Summary Data'!S132)-('Summary Data'!R105+'Summary Data'!S105)</f>
        <v>192.75143391221809</v>
      </c>
      <c r="N18" s="8"/>
      <c r="O18" s="21">
        <f t="shared" si="7"/>
        <v>66.759939345288416</v>
      </c>
      <c r="P18" s="21"/>
      <c r="Q18" s="22">
        <f t="shared" si="12"/>
        <v>165.82777086679238</v>
      </c>
      <c r="R18" s="23">
        <f t="shared" si="8"/>
        <v>31.963540617040977</v>
      </c>
      <c r="U18" s="24">
        <f>'Summary Data'!F18-'Summary Data'!F132</f>
        <v>4.8335821370706071</v>
      </c>
      <c r="V18" s="25">
        <f>'Summary Data'!V18+'Summary Data'!W18</f>
        <v>1704.8823008671179</v>
      </c>
      <c r="W18" s="26"/>
      <c r="X18" s="29">
        <f t="shared" si="9"/>
        <v>3.5484610320795071</v>
      </c>
      <c r="Y18" s="29"/>
      <c r="Z18" s="27">
        <f t="shared" si="3"/>
        <v>3.9279685994829627</v>
      </c>
      <c r="AB18" s="44">
        <v>2037</v>
      </c>
      <c r="AC18" s="40">
        <v>36.665918922424297</v>
      </c>
      <c r="AD18" s="40">
        <v>34.932509435017899</v>
      </c>
      <c r="AE18" s="40">
        <v>38.979595375061002</v>
      </c>
      <c r="AF18" s="41">
        <f t="shared" si="4"/>
        <v>3.9279685994829627</v>
      </c>
      <c r="AG18" s="56">
        <f t="shared" si="1"/>
        <v>98.671650660376315</v>
      </c>
      <c r="AH18" s="56">
        <f t="shared" si="10"/>
        <v>67.156120206416063</v>
      </c>
      <c r="AT18" s="122">
        <f>R18+X18+'Summary Data'!F105</f>
        <v>1487.5878793031666</v>
      </c>
      <c r="AU18" s="122">
        <f>'Summary Data'!F18</f>
        <v>1481.2920857301992</v>
      </c>
    </row>
    <row r="19" spans="3:48" x14ac:dyDescent="0.2">
      <c r="C19" s="2">
        <v>2038</v>
      </c>
      <c r="D19" s="21">
        <f>'Summary Data'!F76-'Summary Data'!F106</f>
        <v>26.893828184869335</v>
      </c>
      <c r="E19" s="8">
        <f>('Summary Data'!R76+'Summary Data'!S76)-('Summary Data'!R106+'Summary Data'!S106)</f>
        <v>270.11008623710995</v>
      </c>
      <c r="F19" s="8"/>
      <c r="G19" s="21">
        <f t="shared" si="6"/>
        <v>39.245425360935791</v>
      </c>
      <c r="H19" s="21"/>
      <c r="I19" s="22">
        <f t="shared" si="11"/>
        <v>100.64508367358384</v>
      </c>
      <c r="J19" s="23">
        <f t="shared" si="5"/>
        <v>27.185252230412878</v>
      </c>
      <c r="L19" s="21">
        <f>'Summary Data'!F133-'Summary Data'!F106</f>
        <v>37.903167017092301</v>
      </c>
      <c r="M19" s="8">
        <f>('Summary Data'!R133+'Summary Data'!S133)-('Summary Data'!R106+'Summary Data'!S106)</f>
        <v>244.30339593691056</v>
      </c>
      <c r="N19" s="8"/>
      <c r="O19" s="21">
        <f t="shared" si="7"/>
        <v>68.09513813219418</v>
      </c>
      <c r="P19" s="21"/>
      <c r="Q19" s="22">
        <f t="shared" si="12"/>
        <v>169.14432628412823</v>
      </c>
      <c r="R19" s="23">
        <f t="shared" si="8"/>
        <v>41.322533314673372</v>
      </c>
      <c r="U19" s="24">
        <f>'Summary Data'!F19-'Summary Data'!F133</f>
        <v>-7.9666282048724497</v>
      </c>
      <c r="V19" s="25">
        <f>'Summary Data'!V19+'Summary Data'!W19</f>
        <v>1702.319323209791</v>
      </c>
      <c r="W19" s="26"/>
      <c r="X19" s="29">
        <f t="shared" si="9"/>
        <v>3.6194302527210973</v>
      </c>
      <c r="Y19" s="29"/>
      <c r="Z19" s="27">
        <f>X19/$V$28*1000</f>
        <v>4.0065279714726225</v>
      </c>
      <c r="AB19" s="44">
        <v>2038</v>
      </c>
      <c r="AC19" s="40">
        <v>36.371164102554303</v>
      </c>
      <c r="AD19" s="40">
        <v>34.578533639907803</v>
      </c>
      <c r="AE19" s="40">
        <v>38.763886321385698</v>
      </c>
      <c r="AF19" s="41">
        <f t="shared" si="4"/>
        <v>4.0065279714726225</v>
      </c>
      <c r="AG19" s="56">
        <f t="shared" si="1"/>
        <v>100.64508367358384</v>
      </c>
      <c r="AH19" s="56">
        <f t="shared" si="10"/>
        <v>68.499242610544385</v>
      </c>
      <c r="AT19" s="122">
        <f>R19+X19+'Summary Data'!F106</f>
        <v>1544.3810641628127</v>
      </c>
      <c r="AU19" s="122">
        <f>'Summary Data'!F19</f>
        <v>1529.3756394076381</v>
      </c>
    </row>
    <row r="20" spans="3:48" x14ac:dyDescent="0.2">
      <c r="C20" s="2">
        <v>2039</v>
      </c>
      <c r="D20" s="21">
        <f>'Summary Data'!F77-'Summary Data'!F107</f>
        <v>24.773026283713079</v>
      </c>
      <c r="E20" s="8">
        <f>('Summary Data'!R77+'Summary Data'!S77)-('Summary Data'!R107+'Summary Data'!S107)</f>
        <v>269.15306432132934</v>
      </c>
      <c r="F20" s="8"/>
      <c r="G20" s="21">
        <f t="shared" si="6"/>
        <v>40.030333868154507</v>
      </c>
      <c r="H20" s="21"/>
      <c r="I20" s="22">
        <f t="shared" si="11"/>
        <v>102.65798534705552</v>
      </c>
      <c r="J20" s="23">
        <f t="shared" si="5"/>
        <v>27.630711333214116</v>
      </c>
      <c r="L20" s="21">
        <f>'Summary Data'!F134-'Summary Data'!F107</f>
        <v>35.685743227207922</v>
      </c>
      <c r="M20" s="8">
        <f>('Summary Data'!R134+'Summary Data'!S134)-('Summary Data'!R107+'Summary Data'!S107)</f>
        <v>243.47622343450189</v>
      </c>
      <c r="N20" s="8"/>
      <c r="O20" s="21">
        <f t="shared" si="7"/>
        <v>69.457040894838059</v>
      </c>
      <c r="P20" s="21"/>
      <c r="Q20" s="22">
        <f t="shared" si="12"/>
        <v>172.52721280981081</v>
      </c>
      <c r="R20" s="23">
        <f t="shared" si="8"/>
        <v>42.006274214613356</v>
      </c>
      <c r="U20" s="24">
        <f>'Summary Data'!F20-'Summary Data'!F134</f>
        <v>5.1036061162678834</v>
      </c>
      <c r="V20" s="25">
        <f>'Summary Data'!V20+'Summary Data'!W20</f>
        <v>1443.1710447094795</v>
      </c>
      <c r="W20" s="26"/>
      <c r="X20" s="29">
        <f t="shared" si="9"/>
        <v>3.6918188577755191</v>
      </c>
      <c r="Y20" s="29"/>
      <c r="Z20" s="27">
        <f t="shared" si="3"/>
        <v>4.0866585309020742</v>
      </c>
      <c r="AB20" s="44">
        <v>2039</v>
      </c>
      <c r="AC20" s="40">
        <v>37.508307768503798</v>
      </c>
      <c r="AD20" s="40">
        <v>35.263248631159499</v>
      </c>
      <c r="AE20" s="40">
        <v>40.504911263783796</v>
      </c>
      <c r="AF20" s="41">
        <f t="shared" si="4"/>
        <v>4.0866585309020742</v>
      </c>
      <c r="AG20" s="56">
        <f t="shared" si="1"/>
        <v>102.65798534705552</v>
      </c>
      <c r="AH20" s="56">
        <f t="shared" si="10"/>
        <v>69.869227462755291</v>
      </c>
      <c r="AT20" s="122">
        <f>R20+X20+'Summary Data'!F107</f>
        <v>1614.837967813723</v>
      </c>
      <c r="AU20" s="122">
        <f>'Summary Data'!F20</f>
        <v>1609.9292240848099</v>
      </c>
    </row>
    <row r="21" spans="3:48" x14ac:dyDescent="0.2">
      <c r="C21" s="2">
        <v>2040</v>
      </c>
      <c r="D21" s="21">
        <f>'Summary Data'!F78-'Summary Data'!F108</f>
        <v>29.777306861399438</v>
      </c>
      <c r="E21" s="8">
        <f>('Summary Data'!R78+'Summary Data'!S78)-('Summary Data'!R108+'Summary Data'!S108)</f>
        <v>357.54567541472801</v>
      </c>
      <c r="F21" s="8"/>
      <c r="G21" s="21">
        <f t="shared" si="6"/>
        <v>40.830940545517599</v>
      </c>
      <c r="H21" s="21"/>
      <c r="I21" s="22">
        <f t="shared" si="11"/>
        <v>104.71114505399663</v>
      </c>
      <c r="J21" s="23">
        <f t="shared" si="5"/>
        <v>37.439017081780783</v>
      </c>
      <c r="L21" s="21">
        <f>'Summary Data'!F135-'Summary Data'!F108</f>
        <v>41.875927833230662</v>
      </c>
      <c r="M21" s="8">
        <f>('Summary Data'!R135+'Summary Data'!S135)-('Summary Data'!R108+'Summary Data'!S108)</f>
        <v>291.66398747209018</v>
      </c>
      <c r="N21" s="8"/>
      <c r="O21" s="21">
        <f t="shared" si="7"/>
        <v>70.846181712734818</v>
      </c>
      <c r="P21" s="21"/>
      <c r="Q21" s="22">
        <f t="shared" si="12"/>
        <v>175.97775706600703</v>
      </c>
      <c r="R21" s="23">
        <f t="shared" si="8"/>
        <v>51.326374332266404</v>
      </c>
      <c r="U21" s="24">
        <f>'Summary Data'!F21-'Summary Data'!F135</f>
        <v>-5.7770565280636674</v>
      </c>
      <c r="V21" s="25">
        <f>'Summary Data'!V21+'Summary Data'!W21</f>
        <v>1447.8590133393504</v>
      </c>
      <c r="W21" s="26"/>
      <c r="X21" s="29">
        <f t="shared" si="9"/>
        <v>3.7656552349310295</v>
      </c>
      <c r="Y21" s="29"/>
      <c r="Z21" s="27">
        <f t="shared" si="3"/>
        <v>4.1683917015201155</v>
      </c>
      <c r="AB21" s="44">
        <v>2040</v>
      </c>
      <c r="AC21" s="40">
        <v>39.503217175801602</v>
      </c>
      <c r="AD21" s="40">
        <v>37.6030141448975</v>
      </c>
      <c r="AE21" s="40">
        <v>42.0234016354879</v>
      </c>
      <c r="AF21" s="41">
        <f t="shared" si="4"/>
        <v>4.1683917015201155</v>
      </c>
      <c r="AG21" s="56">
        <f t="shared" si="1"/>
        <v>104.71114505399663</v>
      </c>
      <c r="AH21" s="56">
        <f t="shared" si="10"/>
        <v>71.266612012010398</v>
      </c>
      <c r="AT21" s="122">
        <f>R21+X21+'Summary Data'!F108</f>
        <v>1673.5307966365644</v>
      </c>
      <c r="AU21" s="122">
        <f>'Summary Data'!F21</f>
        <v>1654.537638374534</v>
      </c>
    </row>
    <row r="22" spans="3:48" x14ac:dyDescent="0.2">
      <c r="C22" s="2">
        <v>2041</v>
      </c>
      <c r="D22" s="21">
        <f>'Summary Data'!F79-'Summary Data'!F109</f>
        <v>41.444263559496449</v>
      </c>
      <c r="E22" s="8">
        <f>('Summary Data'!R79+'Summary Data'!S79)-('Summary Data'!R109+'Summary Data'!S109)</f>
        <v>417.96943256215798</v>
      </c>
      <c r="F22" s="8"/>
      <c r="G22" s="21">
        <f t="shared" si="6"/>
        <v>41.647559356427955</v>
      </c>
      <c r="H22" s="21"/>
      <c r="I22" s="22">
        <f t="shared" si="11"/>
        <v>106.80536795507656</v>
      </c>
      <c r="J22" s="23">
        <f t="shared" si="5"/>
        <v>44.641379038775838</v>
      </c>
      <c r="L22" s="21">
        <f>'Summary Data'!F136-'Summary Data'!F109</f>
        <v>65.083661893873568</v>
      </c>
      <c r="M22" s="8">
        <f>('Summary Data'!R136+'Summary Data'!S136)-('Summary Data'!R109+'Summary Data'!S109)</f>
        <v>396.27740432980204</v>
      </c>
      <c r="N22" s="8"/>
      <c r="O22" s="21">
        <f t="shared" si="7"/>
        <v>72.263105346989519</v>
      </c>
      <c r="P22" s="21"/>
      <c r="Q22" s="22">
        <f t="shared" si="12"/>
        <v>179.49731220732718</v>
      </c>
      <c r="R22" s="23">
        <f t="shared" si="8"/>
        <v>71.130728965695695</v>
      </c>
      <c r="U22" s="24">
        <f>'Summary Data'!F22-'Summary Data'!F136</f>
        <v>5.8410575498332946</v>
      </c>
      <c r="V22" s="25">
        <f>'Summary Data'!V22+'Summary Data'!W22</f>
        <v>1956.5239319717275</v>
      </c>
      <c r="W22" s="26"/>
      <c r="X22" s="29">
        <f t="shared" si="9"/>
        <v>3.8409683396296503</v>
      </c>
      <c r="Y22" s="29"/>
      <c r="Z22" s="27">
        <f t="shared" si="3"/>
        <v>4.2517595355505176</v>
      </c>
      <c r="AB22" s="44">
        <v>2041</v>
      </c>
      <c r="AC22" s="40">
        <v>39.697983328501401</v>
      </c>
      <c r="AD22" s="40">
        <v>37.853973693847699</v>
      </c>
      <c r="AE22" s="40">
        <v>42.159284025828001</v>
      </c>
      <c r="AF22" s="41">
        <f t="shared" si="4"/>
        <v>4.2517595355505176</v>
      </c>
      <c r="AG22" s="56">
        <f t="shared" si="1"/>
        <v>106.80536795507656</v>
      </c>
      <c r="AH22" s="56">
        <f t="shared" si="10"/>
        <v>72.691944252250622</v>
      </c>
      <c r="AT22" s="122">
        <f>R22+X22+'Summary Data'!F109</f>
        <v>1716.4760583005755</v>
      </c>
      <c r="AU22" s="122">
        <f>'Summary Data'!F22</f>
        <v>1712.429080438957</v>
      </c>
    </row>
    <row r="23" spans="3:48" x14ac:dyDescent="0.2">
      <c r="C23" s="2">
        <v>2042</v>
      </c>
      <c r="D23" s="21">
        <f>'Summary Data'!F80-'Summary Data'!F110</f>
        <v>78.084471922738203</v>
      </c>
      <c r="E23" s="8">
        <f>('Summary Data'!R80+'Summary Data'!S80)-('Summary Data'!R110+'Summary Data'!S110)</f>
        <v>716.95146713168833</v>
      </c>
      <c r="F23" s="8"/>
      <c r="G23" s="21">
        <f t="shared" si="6"/>
        <v>42.480510543556512</v>
      </c>
      <c r="H23" s="21"/>
      <c r="I23" s="22">
        <f t="shared" si="11"/>
        <v>108.94147531417809</v>
      </c>
      <c r="J23" s="23">
        <f t="shared" si="5"/>
        <v>78.105750557990589</v>
      </c>
      <c r="L23" s="21">
        <f>'Summary Data'!F137-'Summary Data'!F110</f>
        <v>131.10808950403953</v>
      </c>
      <c r="M23" s="8">
        <f>('Summary Data'!R137+'Summary Data'!S137)-('Summary Data'!R110+'Summary Data'!S110)</f>
        <v>722.41173534145958</v>
      </c>
      <c r="N23" s="8"/>
      <c r="O23" s="21">
        <f t="shared" si="7"/>
        <v>73.708367453929313</v>
      </c>
      <c r="P23" s="21"/>
      <c r="Q23" s="22">
        <f t="shared" si="12"/>
        <v>183.08725845147373</v>
      </c>
      <c r="R23" s="23">
        <f t="shared" si="8"/>
        <v>132.26438409683945</v>
      </c>
      <c r="U23" s="24">
        <f>'Summary Data'!F23-'Summary Data'!F137</f>
        <v>3.8308252421184079</v>
      </c>
      <c r="V23" s="25">
        <f>'Summary Data'!V23+'Summary Data'!W23</f>
        <v>2523.3308848469055</v>
      </c>
      <c r="W23" s="26"/>
      <c r="X23" s="29">
        <f t="shared" si="9"/>
        <v>3.9177877064222435</v>
      </c>
      <c r="Y23" s="29"/>
      <c r="Z23" s="27">
        <f t="shared" si="3"/>
        <v>4.3367947262615285</v>
      </c>
      <c r="AB23" s="44">
        <v>2042</v>
      </c>
      <c r="AC23" s="40">
        <v>41.459562692642201</v>
      </c>
      <c r="AD23" s="40">
        <v>40.310545069376602</v>
      </c>
      <c r="AE23" s="40">
        <v>42.993219569524101</v>
      </c>
      <c r="AF23" s="41">
        <f t="shared" si="4"/>
        <v>4.3367947262615285</v>
      </c>
      <c r="AG23" s="56">
        <f t="shared" si="1"/>
        <v>108.94147531417809</v>
      </c>
      <c r="AH23" s="56">
        <f t="shared" si="10"/>
        <v>74.145783137295638</v>
      </c>
      <c r="AT23" s="122">
        <f>R23+X23+'Summary Data'!F110</f>
        <v>1842.2722175784886</v>
      </c>
      <c r="AU23" s="122">
        <f>'Summary Data'!F23</f>
        <v>1841.0289605213848</v>
      </c>
    </row>
    <row r="24" spans="3:48" x14ac:dyDescent="0.2">
      <c r="C24" s="2">
        <v>2043</v>
      </c>
      <c r="D24" s="21">
        <f>'Summary Data'!F81-'Summary Data'!F111</f>
        <v>87.580304550566325</v>
      </c>
      <c r="E24" s="8">
        <f>('Summary Data'!R81+'Summary Data'!S81)-('Summary Data'!R111+'Summary Data'!S111)</f>
        <v>782.10603101495349</v>
      </c>
      <c r="F24" s="8"/>
      <c r="G24" s="21">
        <f t="shared" si="6"/>
        <v>43.330120754427647</v>
      </c>
      <c r="H24" s="21"/>
      <c r="I24" s="22">
        <f t="shared" si="11"/>
        <v>111.12030482046166</v>
      </c>
      <c r="J24" s="23">
        <f t="shared" si="5"/>
        <v>86.907860568303064</v>
      </c>
      <c r="L24" s="21">
        <f>'Summary Data'!F138-'Summary Data'!F111</f>
        <v>140.74066475690483</v>
      </c>
      <c r="M24" s="8">
        <f>('Summary Data'!R138+'Summary Data'!S138)-('Summary Data'!R111+'Summary Data'!S111)</f>
        <v>773.64267905645261</v>
      </c>
      <c r="N24" s="8"/>
      <c r="O24" s="21">
        <f t="shared" si="7"/>
        <v>75.182534803007897</v>
      </c>
      <c r="P24" s="21"/>
      <c r="Q24" s="22">
        <f t="shared" si="12"/>
        <v>186.7490036205032</v>
      </c>
      <c r="R24" s="23">
        <f t="shared" si="8"/>
        <v>144.47699947208926</v>
      </c>
      <c r="U24" s="24">
        <f>'Summary Data'!F24-'Summary Data'!F138</f>
        <v>4.9953168061447286</v>
      </c>
      <c r="V24" s="25">
        <f>'Summary Data'!V24+'Summary Data'!W24</f>
        <v>2230.063344287265</v>
      </c>
      <c r="W24" s="26"/>
      <c r="X24" s="29">
        <f t="shared" si="9"/>
        <v>3.9961434605506883</v>
      </c>
      <c r="Y24" s="29"/>
      <c r="Z24" s="27">
        <f t="shared" si="3"/>
        <v>4.4235306207867593</v>
      </c>
      <c r="AB24" s="44">
        <v>2043</v>
      </c>
      <c r="AC24" s="40">
        <v>42.402365156809502</v>
      </c>
      <c r="AD24" s="40">
        <v>41.436866626739501</v>
      </c>
      <c r="AE24" s="40">
        <v>43.691069138844803</v>
      </c>
      <c r="AF24" s="41">
        <f t="shared" si="4"/>
        <v>4.4235306207867593</v>
      </c>
      <c r="AG24" s="56">
        <f t="shared" si="1"/>
        <v>111.12030482046166</v>
      </c>
      <c r="AH24" s="56">
        <f t="shared" si="10"/>
        <v>75.628698800041548</v>
      </c>
      <c r="AT24" s="122">
        <f>R24+X24+'Summary Data'!F111</f>
        <v>1937.2179618963473</v>
      </c>
      <c r="AU24" s="122">
        <f>'Summary Data'!F24</f>
        <v>1934.4808005267569</v>
      </c>
    </row>
    <row r="25" spans="3:48" x14ac:dyDescent="0.2">
      <c r="C25" s="2">
        <v>2044</v>
      </c>
      <c r="D25" s="21">
        <f>'Summary Data'!F82-'Summary Data'!F112</f>
        <v>77.079046198469769</v>
      </c>
      <c r="E25" s="8">
        <f>('Summary Data'!R82+'Summary Data'!S82)-('Summary Data'!R112+'Summary Data'!S112)</f>
        <v>839.39507423205214</v>
      </c>
      <c r="F25" s="8"/>
      <c r="G25" s="21">
        <f t="shared" si="6"/>
        <v>44.196723169516197</v>
      </c>
      <c r="H25" s="21"/>
      <c r="I25" s="22">
        <f t="shared" si="11"/>
        <v>113.34271091687089</v>
      </c>
      <c r="J25" s="23">
        <f t="shared" si="5"/>
        <v>95.139313243728864</v>
      </c>
      <c r="L25" s="21">
        <f>'Summary Data'!F139-'Summary Data'!F112</f>
        <v>142.7074420723668</v>
      </c>
      <c r="M25" s="8">
        <f>('Summary Data'!R139+'Summary Data'!S139)-('Summary Data'!R112+'Summary Data'!S112)</f>
        <v>830.98558899884279</v>
      </c>
      <c r="N25" s="8"/>
      <c r="O25" s="21">
        <f t="shared" si="7"/>
        <v>76.68618549906806</v>
      </c>
      <c r="P25" s="21"/>
      <c r="Q25" s="22">
        <f t="shared" si="12"/>
        <v>190.48398369291326</v>
      </c>
      <c r="R25" s="23">
        <f t="shared" si="8"/>
        <v>158.28944538390147</v>
      </c>
      <c r="U25" s="24">
        <f>'Summary Data'!F25-'Summary Data'!F139</f>
        <v>6.1378039811932013</v>
      </c>
      <c r="V25" s="25">
        <f>'Summary Data'!V25+'Summary Data'!W25</f>
        <v>2482.8063468598284</v>
      </c>
      <c r="W25" s="26"/>
      <c r="X25" s="29">
        <f t="shared" si="9"/>
        <v>4.0760663297617024</v>
      </c>
      <c r="Y25" s="29"/>
      <c r="Z25" s="27">
        <f t="shared" si="3"/>
        <v>4.5120012332024944</v>
      </c>
      <c r="AB25" s="44">
        <v>2044</v>
      </c>
      <c r="AC25" s="40">
        <v>47.582995560964001</v>
      </c>
      <c r="AD25" s="40">
        <v>46.701092096964501</v>
      </c>
      <c r="AE25" s="40">
        <v>48.761368529001899</v>
      </c>
      <c r="AF25" s="41">
        <f t="shared" si="4"/>
        <v>4.5120012332024944</v>
      </c>
      <c r="AG25" s="56">
        <f t="shared" si="1"/>
        <v>113.34271091687089</v>
      </c>
      <c r="AH25" s="56">
        <f t="shared" si="10"/>
        <v>77.141272776042371</v>
      </c>
      <c r="AT25" s="122">
        <f>R25+X25+'Summary Data'!F112</f>
        <v>2040.4891881677543</v>
      </c>
      <c r="AU25" s="122">
        <f>'Summary Data'!F25</f>
        <v>2026.9689225076511</v>
      </c>
    </row>
    <row r="26" spans="3:48" x14ac:dyDescent="0.2">
      <c r="C26" s="2">
        <v>2045</v>
      </c>
      <c r="D26" s="21">
        <f>'Summary Data'!F83-'Summary Data'!F113</f>
        <v>126.37903047733425</v>
      </c>
      <c r="E26" s="8">
        <f>('Summary Data'!R83+'Summary Data'!S83)-('Summary Data'!R113+'Summary Data'!S113)</f>
        <v>1053.48519442108</v>
      </c>
      <c r="F26" s="8"/>
      <c r="G26" s="21">
        <f t="shared" si="6"/>
        <v>45.080657632906522</v>
      </c>
      <c r="H26" s="21"/>
      <c r="I26" s="22">
        <f t="shared" si="11"/>
        <v>115.6095651352083</v>
      </c>
      <c r="J26" s="23">
        <f t="shared" si="5"/>
        <v>121.79296520340142</v>
      </c>
      <c r="L26" s="21">
        <f>'Summary Data'!F140-'Summary Data'!F113</f>
        <v>268.03113122289915</v>
      </c>
      <c r="M26" s="8">
        <f>('Summary Data'!R140+'Summary Data'!S140)-('Summary Data'!R113+'Summary Data'!S113)</f>
        <v>1255.9781144210808</v>
      </c>
      <c r="N26" s="8"/>
      <c r="O26" s="21">
        <f t="shared" si="7"/>
        <v>78.219909209049419</v>
      </c>
      <c r="P26" s="21"/>
      <c r="Q26" s="22">
        <f t="shared" si="12"/>
        <v>194.29366336677151</v>
      </c>
      <c r="R26" s="23">
        <f t="shared" si="8"/>
        <v>244.02858895936191</v>
      </c>
      <c r="U26" s="24">
        <f>'Summary Data'!F26-'Summary Data'!F140</f>
        <v>64.170634296257049</v>
      </c>
      <c r="V26" s="25">
        <f>'Summary Data'!V26+'Summary Data'!W26</f>
        <v>3493.9902633020338</v>
      </c>
      <c r="W26" s="26"/>
      <c r="X26" s="29">
        <f>X25*(1+$B$2)</f>
        <v>4.1575876563569363</v>
      </c>
      <c r="Y26" s="29"/>
      <c r="Z26" s="27">
        <f>X26/$V$28*1000</f>
        <v>4.6022412578665444</v>
      </c>
      <c r="AB26" s="44">
        <v>2045</v>
      </c>
      <c r="AC26" s="40">
        <v>47.478696454366101</v>
      </c>
      <c r="AD26" s="40">
        <v>46.423937969207799</v>
      </c>
      <c r="AE26" s="40">
        <v>48.876083246866898</v>
      </c>
      <c r="AF26" s="41">
        <f t="shared" si="4"/>
        <v>4.6022412578665444</v>
      </c>
      <c r="AG26" s="56">
        <f t="shared" si="1"/>
        <v>115.6095651352083</v>
      </c>
      <c r="AH26" s="56">
        <f t="shared" si="10"/>
        <v>78.684098231563212</v>
      </c>
      <c r="AT26" s="122">
        <f>R26+X26+'Summary Data'!F113</f>
        <v>2212.4527466479999</v>
      </c>
      <c r="AU26" s="122">
        <f>'Summary Data'!F26</f>
        <v>2296.4683355514371</v>
      </c>
    </row>
    <row r="27" spans="3:48" x14ac:dyDescent="0.2">
      <c r="AB27" s="45" t="s">
        <v>55</v>
      </c>
      <c r="AC27" s="46">
        <f t="shared" ref="AC27:AH27" si="13">-PMT($B$1,20,NPV($B$1,AC5:AC24))</f>
        <v>34.874840567815362</v>
      </c>
      <c r="AD27" s="46">
        <f t="shared" si="13"/>
        <v>34.669617140255589</v>
      </c>
      <c r="AE27" s="46">
        <f t="shared" si="13"/>
        <v>35.147441289424769</v>
      </c>
      <c r="AF27" s="46">
        <f t="shared" si="13"/>
        <v>1.3934381784440339</v>
      </c>
      <c r="AG27" s="121">
        <f>-PMT($B$1,20,NPV($B$1,AG5:AG24))</f>
        <v>35.003549971952161</v>
      </c>
      <c r="AH27" s="121">
        <f t="shared" si="13"/>
        <v>23.823485204060603</v>
      </c>
      <c r="AT27" s="122"/>
      <c r="AU27" s="122"/>
    </row>
    <row r="28" spans="3:48" x14ac:dyDescent="0.2">
      <c r="C28" s="6" t="s">
        <v>6</v>
      </c>
      <c r="D28" s="27">
        <f>NPV($B$1,D5:D26)</f>
        <v>173.28552400932051</v>
      </c>
      <c r="F28" s="32">
        <f>G28-D28</f>
        <v>0</v>
      </c>
      <c r="G28" s="27">
        <f>NPV($B$1,G5:G26)</f>
        <v>173.28552400932051</v>
      </c>
      <c r="I28" s="32">
        <f>J28-G28</f>
        <v>0</v>
      </c>
      <c r="J28" s="27">
        <f>NPV($B$1,J5:J26)</f>
        <v>173.28552400932048</v>
      </c>
      <c r="L28" s="27">
        <f>NPV($B$1,L5:L26)</f>
        <v>300.66948147973812</v>
      </c>
      <c r="N28" s="32">
        <f>O28-L28</f>
        <v>0</v>
      </c>
      <c r="O28" s="27">
        <f>NPV($B$1,O5:O26)</f>
        <v>300.66948147973818</v>
      </c>
      <c r="Q28" s="32">
        <f>R28-O28</f>
        <v>0</v>
      </c>
      <c r="R28" s="27">
        <f>NPV($B$1,R5:R26)</f>
        <v>300.66948147973812</v>
      </c>
      <c r="U28" s="27">
        <f>NPV($B$1,U5:U26)</f>
        <v>15.98134972903776</v>
      </c>
      <c r="V28" s="51">
        <f>-PMT($B$1,24,NPV($B$1,V5:V26))</f>
        <v>903.38324816206273</v>
      </c>
      <c r="W28" s="32">
        <f>X28-U28</f>
        <v>0</v>
      </c>
      <c r="X28" s="27">
        <f>NPV($B$1,X5:X26)</f>
        <v>15.98134972903776</v>
      </c>
      <c r="Y28" s="27"/>
      <c r="AB28" s="45" t="s">
        <v>84</v>
      </c>
      <c r="AC28" s="46">
        <f t="shared" ref="AC28:AH28" si="14">-PMT($B$1,22,NPV($B$1,AC5:AC26))</f>
        <v>35.441144264223055</v>
      </c>
      <c r="AD28" s="46">
        <f t="shared" si="14"/>
        <v>35.201901272792377</v>
      </c>
      <c r="AE28" s="46">
        <f t="shared" si="14"/>
        <v>35.759014166086381</v>
      </c>
      <c r="AF28" s="46">
        <f t="shared" si="14"/>
        <v>1.5349178380584754</v>
      </c>
      <c r="AG28" s="121">
        <f>-PMT($B$1,22,NPV($B$1,AG5:AG26))</f>
        <v>38.557557901359409</v>
      </c>
      <c r="AH28" s="121">
        <f t="shared" si="14"/>
        <v>26.242350016035143</v>
      </c>
      <c r="AT28" s="122">
        <f>NPV($B$1,AT5:AT26)</f>
        <v>14995.662783760847</v>
      </c>
      <c r="AU28" s="122">
        <f>NPV($B$1,AU5:AU26)</f>
        <v>14995.662783760845</v>
      </c>
      <c r="AV28" s="123">
        <f>AT28-AU28</f>
        <v>0</v>
      </c>
    </row>
  </sheetData>
  <mergeCells count="6">
    <mergeCell ref="D2:J2"/>
    <mergeCell ref="D3:J3"/>
    <mergeCell ref="L3:R3"/>
    <mergeCell ref="L2:R2"/>
    <mergeCell ref="U2:Z2"/>
    <mergeCell ref="U3:Z3"/>
  </mergeCell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99CAA-0C6B-4F40-9F13-A769D928636E}">
  <dimension ref="B2:F58"/>
  <sheetViews>
    <sheetView topLeftCell="A40" workbookViewId="0">
      <selection activeCell="U52" sqref="T52:U52"/>
    </sheetView>
  </sheetViews>
  <sheetFormatPr defaultRowHeight="12.75" x14ac:dyDescent="0.2"/>
  <cols>
    <col min="1" max="1" width="9.140625" style="127"/>
    <col min="2" max="2" width="43.5703125" style="127" bestFit="1" customWidth="1"/>
    <col min="3" max="4" width="11.5703125" style="127" bestFit="1" customWidth="1"/>
    <col min="5" max="5" width="14" style="127" bestFit="1" customWidth="1"/>
    <col min="6" max="16384" width="9.140625" style="127"/>
  </cols>
  <sheetData>
    <row r="2" spans="2:6" ht="38.25" x14ac:dyDescent="0.2">
      <c r="C2" s="145" t="s">
        <v>75</v>
      </c>
      <c r="D2" s="145" t="s">
        <v>76</v>
      </c>
    </row>
    <row r="3" spans="2:6" x14ac:dyDescent="0.2">
      <c r="B3" s="127" t="s">
        <v>219</v>
      </c>
      <c r="C3" s="147">
        <f>VLOOKUP(B3,'Summary Table'!$A$4:$S$20,9,FALSE)</f>
        <v>0.13267496331058853</v>
      </c>
      <c r="D3" s="147">
        <f>VLOOKUP(B3,'Summary Table'!$A$4:$S$20,10,FALSE)</f>
        <v>0.1940355520856471</v>
      </c>
      <c r="E3" s="145"/>
      <c r="F3" s="145"/>
    </row>
    <row r="4" spans="2:6" x14ac:dyDescent="0.2">
      <c r="B4" s="6" t="s">
        <v>248</v>
      </c>
      <c r="C4" s="147">
        <f>VLOOKUP(B4,'Summary Table'!$A$4:$S$20,9,FALSE)</f>
        <v>0.13265834347180819</v>
      </c>
      <c r="D4" s="147">
        <f>VLOOKUP(B4,'Summary Table'!$A$4:$S$20,10,FALSE)</f>
        <v>0.2046221874849706</v>
      </c>
      <c r="E4" s="149"/>
    </row>
    <row r="5" spans="2:6" x14ac:dyDescent="0.2">
      <c r="B5" s="127" t="s">
        <v>88</v>
      </c>
      <c r="C5" s="147">
        <f>VLOOKUP(B5,'Summary Table'!$A$4:$S$20,9,FALSE)</f>
        <v>0.13203057852115693</v>
      </c>
      <c r="D5" s="147">
        <f>VLOOKUP(B5,'Summary Table'!$A$4:$S$20,10,FALSE)</f>
        <v>0.2223633905095804</v>
      </c>
      <c r="E5" s="149"/>
    </row>
    <row r="6" spans="2:6" x14ac:dyDescent="0.2">
      <c r="B6" s="6" t="s">
        <v>249</v>
      </c>
      <c r="C6" s="147">
        <f>VLOOKUP(B6,'Summary Table'!$A$4:$S$20,9,FALSE)</f>
        <v>0.13265834347180819</v>
      </c>
      <c r="D6" s="147">
        <f>VLOOKUP(B6,'Summary Table'!$A$4:$S$20,10,FALSE)</f>
        <v>0.2228832831258708</v>
      </c>
      <c r="E6" s="149"/>
    </row>
    <row r="7" spans="2:6" x14ac:dyDescent="0.2">
      <c r="B7" s="127" t="s">
        <v>186</v>
      </c>
      <c r="C7" s="147">
        <f>VLOOKUP(B7,'Summary Table'!$A$4:$S$20,9,FALSE)</f>
        <v>0.13265766227246034</v>
      </c>
      <c r="D7" s="147">
        <f>VLOOKUP(B7,'Summary Table'!$A$4:$S$20,10,FALSE)</f>
        <v>0.22702652928590714</v>
      </c>
      <c r="E7" s="149"/>
    </row>
    <row r="8" spans="2:6" x14ac:dyDescent="0.2">
      <c r="B8" s="127" t="s">
        <v>185</v>
      </c>
      <c r="C8" s="147">
        <f>VLOOKUP(B8,'Summary Table'!$A$4:$S$20,9,FALSE)</f>
        <v>0.13224329435035129</v>
      </c>
      <c r="D8" s="147">
        <f>VLOOKUP(B8,'Summary Table'!$A$4:$S$20,10,FALSE)</f>
        <v>0.23317707226319012</v>
      </c>
      <c r="E8" s="149"/>
    </row>
    <row r="9" spans="2:6" x14ac:dyDescent="0.2">
      <c r="B9" s="127" t="s">
        <v>203</v>
      </c>
      <c r="C9" s="147">
        <f>VLOOKUP(B9,'Summary Table'!$A$4:$S$20,9,FALSE)</f>
        <v>0.13277293699418885</v>
      </c>
      <c r="D9" s="147">
        <f>VLOOKUP(B9,'Summary Table'!$A$4:$S$20,10,FALSE)</f>
        <v>0.23343185468350577</v>
      </c>
      <c r="E9" s="149"/>
    </row>
    <row r="10" spans="2:6" x14ac:dyDescent="0.2">
      <c r="B10" s="127" t="s">
        <v>184</v>
      </c>
      <c r="C10" s="147">
        <f>VLOOKUP(B10,'Summary Table'!$A$4:$S$20,9,FALSE)</f>
        <v>0.13289050031506686</v>
      </c>
      <c r="D10" s="147">
        <f>VLOOKUP(B10,'Summary Table'!$A$4:$S$20,10,FALSE)</f>
        <v>0.23354375234411018</v>
      </c>
      <c r="E10" s="149"/>
    </row>
    <row r="11" spans="2:6" x14ac:dyDescent="0.2">
      <c r="B11" s="127" t="s">
        <v>60</v>
      </c>
      <c r="C11" s="147">
        <f>VLOOKUP(B11,'Summary Table'!$A$4:$S$20,9,FALSE)</f>
        <v>0.13267359510523058</v>
      </c>
      <c r="D11" s="147">
        <f>VLOOKUP(B11,'Summary Table'!$A$4:$S$20,10,FALSE)</f>
        <v>0.23402456426830173</v>
      </c>
      <c r="E11" s="149"/>
    </row>
    <row r="12" spans="2:6" ht="15" x14ac:dyDescent="0.25">
      <c r="B12" t="s">
        <v>250</v>
      </c>
      <c r="C12" s="147">
        <f>VLOOKUP(B12,'Summary Table'!$A$4:$S$20,9,FALSE)</f>
        <v>0.13278462711138045</v>
      </c>
      <c r="D12" s="147">
        <f>VLOOKUP(B12,'Summary Table'!$A$4:$S$20,10,FALSE)</f>
        <v>0.23536266277583834</v>
      </c>
      <c r="E12" s="149"/>
    </row>
    <row r="13" spans="2:6" x14ac:dyDescent="0.2">
      <c r="B13" s="127" t="s">
        <v>202</v>
      </c>
      <c r="C13" s="147">
        <f>VLOOKUP(B13,'Summary Table'!$A$4:$S$20,9,FALSE)</f>
        <v>0.13277394522340563</v>
      </c>
      <c r="D13" s="147">
        <f>VLOOKUP(B13,'Summary Table'!$A$4:$S$20,10,FALSE)</f>
        <v>0.24008834157082209</v>
      </c>
      <c r="E13" s="149"/>
    </row>
    <row r="14" spans="2:6" x14ac:dyDescent="0.2">
      <c r="B14" s="127" t="s">
        <v>183</v>
      </c>
      <c r="C14" s="147">
        <f>VLOOKUP(B14,'Summary Table'!$A$4:$S$20,9,FALSE)</f>
        <v>0.13270745335852285</v>
      </c>
      <c r="D14" s="147">
        <f>VLOOKUP(B14,'Summary Table'!$A$4:$S$20,10,FALSE)</f>
        <v>0.24197065133684836</v>
      </c>
      <c r="E14" s="149"/>
    </row>
    <row r="15" spans="2:6" x14ac:dyDescent="0.2">
      <c r="B15" s="127" t="s">
        <v>204</v>
      </c>
      <c r="C15" s="147">
        <f>VLOOKUP(B15,'Summary Table'!$A$4:$S$20,9,FALSE)</f>
        <v>0.13402538367099676</v>
      </c>
      <c r="D15" s="147">
        <f>VLOOKUP(B15,'Summary Table'!$A$4:$S$20,10,FALSE)</f>
        <v>0.24345501600713038</v>
      </c>
      <c r="E15" s="149"/>
    </row>
    <row r="16" spans="2:6" x14ac:dyDescent="0.2">
      <c r="B16" s="127" t="s">
        <v>229</v>
      </c>
      <c r="C16" s="147">
        <f>VLOOKUP(B16,'Summary Table'!$A$4:$S$20,9,FALSE)</f>
        <v>0.13156771699963268</v>
      </c>
      <c r="D16" s="147">
        <f>VLOOKUP(B16,'Summary Table'!$A$4:$S$20,10,FALSE)</f>
        <v>0.24357133085008276</v>
      </c>
      <c r="E16" s="149"/>
    </row>
    <row r="17" spans="2:5" x14ac:dyDescent="0.2">
      <c r="B17" s="127" t="s">
        <v>228</v>
      </c>
      <c r="C17" s="147">
        <f>VLOOKUP(B17,'Summary Table'!$A$4:$S$20,9,FALSE)</f>
        <v>0.13094044938916483</v>
      </c>
      <c r="D17" s="147">
        <f>VLOOKUP(B17,'Summary Table'!$A$4:$S$20,10,FALSE)</f>
        <v>0.25937757140777984</v>
      </c>
      <c r="E17" s="149"/>
    </row>
    <row r="18" spans="2:5" x14ac:dyDescent="0.2">
      <c r="B18" s="127" t="s">
        <v>187</v>
      </c>
      <c r="C18" s="147">
        <f>VLOOKUP(B18,'Summary Table'!$A$4:$S$20,9,FALSE)</f>
        <v>0.13149048608405847</v>
      </c>
      <c r="D18" s="147">
        <f>VLOOKUP(B18,'Summary Table'!$A$4:$S$20,10,FALSE)</f>
        <v>0.27260001890822932</v>
      </c>
      <c r="E18" s="149"/>
    </row>
    <row r="19" spans="2:5" x14ac:dyDescent="0.2">
      <c r="B19" s="6" t="s">
        <v>251</v>
      </c>
      <c r="C19" s="147">
        <f>VLOOKUP(B19,'Summary Table'!$A$4:$S$20,9,FALSE)</f>
        <v>0.13357025828705027</v>
      </c>
      <c r="D19" s="147">
        <f>VLOOKUP(B19,'Summary Table'!$A$4:$S$20,10,FALSE)</f>
        <v>0.30228617105748995</v>
      </c>
      <c r="E19" s="149"/>
    </row>
    <row r="21" spans="2:5" ht="38.25" x14ac:dyDescent="0.2">
      <c r="C21" s="145" t="s">
        <v>77</v>
      </c>
      <c r="D21" s="145" t="s">
        <v>78</v>
      </c>
    </row>
    <row r="22" spans="2:5" x14ac:dyDescent="0.2">
      <c r="B22" s="127" t="s">
        <v>219</v>
      </c>
      <c r="C22" s="146">
        <f>VLOOKUP(B22,'Summary Table'!$A$4:$S$20,11,FALSE)</f>
        <v>0.11852509684482135</v>
      </c>
      <c r="D22" s="146">
        <f>VLOOKUP(B22,'Summary Table'!$A$4:$S$20,12,FALSE)</f>
        <v>0.16942603612961071</v>
      </c>
    </row>
    <row r="23" spans="2:5" x14ac:dyDescent="0.2">
      <c r="B23" s="127" t="s">
        <v>185</v>
      </c>
      <c r="C23" s="146">
        <f>VLOOKUP(B23,'Summary Table'!$A$4:$S$20,11,FALSE)</f>
        <v>0.11697764060504585</v>
      </c>
      <c r="D23" s="146">
        <f>VLOOKUP(B23,'Summary Table'!$A$4:$S$20,12,FALSE)</f>
        <v>0.17558613906550938</v>
      </c>
    </row>
    <row r="24" spans="2:5" x14ac:dyDescent="0.2">
      <c r="B24" s="127" t="s">
        <v>203</v>
      </c>
      <c r="C24" s="146">
        <f>VLOOKUP(B24,'Summary Table'!$A$4:$S$20,11,FALSE)</f>
        <v>0.11861697974397351</v>
      </c>
      <c r="D24" s="146">
        <f>VLOOKUP(B24,'Summary Table'!$A$4:$S$20,12,FALSE)</f>
        <v>0.17924416770975352</v>
      </c>
    </row>
    <row r="25" spans="2:5" x14ac:dyDescent="0.2">
      <c r="B25" s="127" t="s">
        <v>88</v>
      </c>
      <c r="C25" s="146">
        <f>VLOOKUP(B25,'Summary Table'!$A$4:$S$20,11,FALSE)</f>
        <v>0.11873474555602197</v>
      </c>
      <c r="D25" s="146">
        <f>VLOOKUP(B25,'Summary Table'!$A$4:$S$20,12,FALSE)</f>
        <v>0.1806547710836616</v>
      </c>
    </row>
    <row r="26" spans="2:5" x14ac:dyDescent="0.2">
      <c r="B26" s="6" t="s">
        <v>251</v>
      </c>
      <c r="C26" s="146">
        <f>VLOOKUP(B26,'Summary Table'!$A$4:$S$20,11,FALSE)</f>
        <v>0.1185888059153347</v>
      </c>
      <c r="D26" s="146">
        <f>VLOOKUP(B26,'Summary Table'!$A$4:$S$20,12,FALSE)</f>
        <v>0.18170689885797672</v>
      </c>
    </row>
    <row r="27" spans="2:5" x14ac:dyDescent="0.2">
      <c r="B27" s="127" t="s">
        <v>184</v>
      </c>
      <c r="C27" s="146">
        <f>VLOOKUP(B27,'Summary Table'!$A$4:$S$20,11,FALSE)</f>
        <v>0.12038747127080057</v>
      </c>
      <c r="D27" s="146">
        <f>VLOOKUP(B27,'Summary Table'!$A$4:$S$20,12,FALSE)</f>
        <v>0.18374193116994875</v>
      </c>
    </row>
    <row r="28" spans="2:5" x14ac:dyDescent="0.2">
      <c r="B28" s="6" t="s">
        <v>248</v>
      </c>
      <c r="C28" s="146">
        <f>VLOOKUP(B28,'Summary Table'!$A$4:$S$20,11,FALSE)</f>
        <v>0.11859328115315164</v>
      </c>
      <c r="D28" s="146">
        <f>VLOOKUP(B28,'Summary Table'!$A$4:$S$20,12,FALSE)</f>
        <v>0.18389149084065629</v>
      </c>
    </row>
    <row r="29" spans="2:5" x14ac:dyDescent="0.2">
      <c r="B29" s="127" t="s">
        <v>60</v>
      </c>
      <c r="C29" s="146">
        <f>VLOOKUP(B29,'Summary Table'!$A$4:$S$20,11,FALSE)</f>
        <v>0.1185973018302955</v>
      </c>
      <c r="D29" s="146">
        <f>VLOOKUP(B29,'Summary Table'!$A$4:$S$20,12,FALSE)</f>
        <v>0.18460326731151203</v>
      </c>
    </row>
    <row r="30" spans="2:5" x14ac:dyDescent="0.2">
      <c r="B30" s="127" t="s">
        <v>183</v>
      </c>
      <c r="C30" s="146">
        <f>VLOOKUP(B30,'Summary Table'!$A$4:$S$20,11,FALSE)</f>
        <v>0.11860658273753902</v>
      </c>
      <c r="D30" s="146">
        <f>VLOOKUP(B30,'Summary Table'!$A$4:$S$20,12,FALSE)</f>
        <v>0.18555078866115138</v>
      </c>
    </row>
    <row r="31" spans="2:5" x14ac:dyDescent="0.2">
      <c r="B31" s="127" t="s">
        <v>186</v>
      </c>
      <c r="C31" s="146">
        <f>VLOOKUP(B31,'Summary Table'!$A$4:$S$20,11,FALSE)</f>
        <v>0.11859869831656702</v>
      </c>
      <c r="D31" s="146">
        <f>VLOOKUP(B31,'Summary Table'!$A$4:$S$20,12,FALSE)</f>
        <v>0.18560142987365294</v>
      </c>
    </row>
    <row r="32" spans="2:5" ht="15" x14ac:dyDescent="0.25">
      <c r="B32" t="s">
        <v>250</v>
      </c>
      <c r="C32" s="146">
        <f>VLOOKUP(B32,'Summary Table'!$A$4:$S$20,11,FALSE)</f>
        <v>0.11838707972156524</v>
      </c>
      <c r="D32" s="146">
        <f>VLOOKUP(B32,'Summary Table'!$A$4:$S$20,12,FALSE)</f>
        <v>0.18790292382846582</v>
      </c>
    </row>
    <row r="33" spans="2:5" x14ac:dyDescent="0.2">
      <c r="B33" s="6" t="s">
        <v>249</v>
      </c>
      <c r="C33" s="146">
        <f>VLOOKUP(B33,'Summary Table'!$A$4:$S$20,11,FALSE)</f>
        <v>0.11859328115315164</v>
      </c>
      <c r="D33" s="146">
        <f>VLOOKUP(B33,'Summary Table'!$A$4:$S$20,12,FALSE)</f>
        <v>0.18809055905351307</v>
      </c>
    </row>
    <row r="34" spans="2:5" x14ac:dyDescent="0.2">
      <c r="B34" s="127" t="s">
        <v>204</v>
      </c>
      <c r="C34" s="146">
        <f>VLOOKUP(B34,'Summary Table'!$A$4:$S$20,11,FALSE)</f>
        <v>0.12033119799256345</v>
      </c>
      <c r="D34" s="146">
        <f>VLOOKUP(B34,'Summary Table'!$A$4:$S$20,12,FALSE)</f>
        <v>0.19193893864633696</v>
      </c>
    </row>
    <row r="35" spans="2:5" x14ac:dyDescent="0.2">
      <c r="B35" s="127" t="s">
        <v>229</v>
      </c>
      <c r="C35" s="146">
        <f>VLOOKUP(B35,'Summary Table'!$A$4:$S$20,11,FALSE)</f>
        <v>0.11874030756882568</v>
      </c>
      <c r="D35" s="146">
        <f>VLOOKUP(B35,'Summary Table'!$A$4:$S$20,12,FALSE)</f>
        <v>0.19404108934597813</v>
      </c>
    </row>
    <row r="36" spans="2:5" x14ac:dyDescent="0.2">
      <c r="B36" s="127" t="s">
        <v>228</v>
      </c>
      <c r="C36" s="146">
        <f>VLOOKUP(B36,'Summary Table'!$A$4:$S$20,11,FALSE)</f>
        <v>0.11864619311180785</v>
      </c>
      <c r="D36" s="146">
        <f>VLOOKUP(B36,'Summary Table'!$A$4:$S$20,12,FALSE)</f>
        <v>0.19506363244461991</v>
      </c>
    </row>
    <row r="37" spans="2:5" x14ac:dyDescent="0.2">
      <c r="B37" s="127" t="s">
        <v>187</v>
      </c>
      <c r="C37" s="146">
        <f>VLOOKUP(B37,'Summary Table'!$A$4:$S$20,11,FALSE)</f>
        <v>0.11881697788569318</v>
      </c>
      <c r="D37" s="146">
        <f>VLOOKUP(B37,'Summary Table'!$A$4:$S$20,12,FALSE)</f>
        <v>0.19535094624583896</v>
      </c>
    </row>
    <row r="38" spans="2:5" x14ac:dyDescent="0.2">
      <c r="B38" s="127" t="s">
        <v>202</v>
      </c>
      <c r="C38" s="146">
        <f>VLOOKUP(B38,'Summary Table'!$A$4:$S$20,11,FALSE)</f>
        <v>0.11899074422762175</v>
      </c>
      <c r="D38" s="146">
        <f>VLOOKUP(B38,'Summary Table'!$A$4:$S$20,12,FALSE)</f>
        <v>0.25887415396330338</v>
      </c>
    </row>
    <row r="39" spans="2:5" x14ac:dyDescent="0.2">
      <c r="B39" s="134"/>
    </row>
    <row r="40" spans="2:5" x14ac:dyDescent="0.2">
      <c r="B40" s="134"/>
    </row>
    <row r="41" spans="2:5" ht="25.5" x14ac:dyDescent="0.2">
      <c r="C41" s="150" t="s">
        <v>74</v>
      </c>
      <c r="D41" s="150" t="s">
        <v>73</v>
      </c>
      <c r="E41" s="150" t="s">
        <v>217</v>
      </c>
    </row>
    <row r="42" spans="2:5" x14ac:dyDescent="0.2">
      <c r="B42" s="127" t="s">
        <v>219</v>
      </c>
      <c r="C42" s="148">
        <f>VLOOKUP(B42,'Summary Table'!$A$4:$S$20,2,FALSE)</f>
        <v>9965.8100132929158</v>
      </c>
      <c r="D42" s="148">
        <f>VLOOKUP(B42,'Summary Table'!$A$4:$S$20,3,FALSE)</f>
        <v>4713.2019392591546</v>
      </c>
      <c r="E42" s="139">
        <f t="shared" ref="E42:E58" si="0">SUM(C42:D42)</f>
        <v>14679.011952552071</v>
      </c>
    </row>
    <row r="43" spans="2:5" x14ac:dyDescent="0.2">
      <c r="B43" s="127" t="s">
        <v>204</v>
      </c>
      <c r="C43" s="148">
        <f>VLOOKUP(B43,'Summary Table'!$A$4:$S$20,2,FALSE)</f>
        <v>10118.85011364489</v>
      </c>
      <c r="D43" s="148">
        <f>VLOOKUP(B43,'Summary Table'!$A$4:$S$20,3,FALSE)</f>
        <v>4697.0626513287243</v>
      </c>
      <c r="E43" s="139">
        <f t="shared" si="0"/>
        <v>14815.912764973615</v>
      </c>
    </row>
    <row r="44" spans="2:5" x14ac:dyDescent="0.2">
      <c r="B44" s="6" t="s">
        <v>248</v>
      </c>
      <c r="C44" s="148">
        <f>VLOOKUP(B44,'Summary Table'!$A$4:$S$20,2,FALSE)</f>
        <v>10063.54613897866</v>
      </c>
      <c r="D44" s="148">
        <f>VLOOKUP(B44,'Summary Table'!$A$4:$S$20,3,FALSE)</f>
        <v>4788.7513375827311</v>
      </c>
      <c r="E44" s="139">
        <f t="shared" si="0"/>
        <v>14852.297476561391</v>
      </c>
    </row>
    <row r="45" spans="2:5" x14ac:dyDescent="0.2">
      <c r="B45" s="127" t="s">
        <v>203</v>
      </c>
      <c r="C45" s="148">
        <f>VLOOKUP(B45,'Summary Table'!$A$4:$S$20,2,FALSE)</f>
        <v>10126.065807935458</v>
      </c>
      <c r="D45" s="148">
        <f>VLOOKUP(B45,'Summary Table'!$A$4:$S$20,3,FALSE)</f>
        <v>4763.4132972472171</v>
      </c>
      <c r="E45" s="139">
        <f t="shared" si="0"/>
        <v>14889.479105182676</v>
      </c>
    </row>
    <row r="46" spans="2:5" x14ac:dyDescent="0.2">
      <c r="B46" s="127" t="s">
        <v>88</v>
      </c>
      <c r="C46" s="148">
        <f>VLOOKUP(B46,'Summary Table'!$A$4:$S$20,2,FALSE)</f>
        <v>10122.156772005914</v>
      </c>
      <c r="D46" s="148">
        <f>VLOOKUP(B46,'Summary Table'!$A$4:$S$20,3,FALSE)</f>
        <v>4777.897616031637</v>
      </c>
      <c r="E46" s="139">
        <f t="shared" si="0"/>
        <v>14900.054388037552</v>
      </c>
    </row>
    <row r="47" spans="2:5" x14ac:dyDescent="0.2">
      <c r="B47" s="6" t="s">
        <v>249</v>
      </c>
      <c r="C47" s="148">
        <f>VLOOKUP(B47,'Summary Table'!$A$4:$S$20,2,FALSE)</f>
        <v>10158.418299738747</v>
      </c>
      <c r="D47" s="148">
        <f>VLOOKUP(B47,'Summary Table'!$A$4:$S$20,3,FALSE)</f>
        <v>4821.2631342930626</v>
      </c>
      <c r="E47" s="139">
        <f t="shared" si="0"/>
        <v>14979.681434031809</v>
      </c>
    </row>
    <row r="48" spans="2:5" x14ac:dyDescent="0.2">
      <c r="B48" s="127" t="s">
        <v>183</v>
      </c>
      <c r="C48" s="148">
        <f>VLOOKUP(B48,'Summary Table'!$A$4:$S$20,2,FALSE)</f>
        <v>10217.187521777265</v>
      </c>
      <c r="D48" s="148">
        <f>VLOOKUP(B48,'Summary Table'!$A$4:$S$20,3,FALSE)</f>
        <v>4777.9092324759658</v>
      </c>
      <c r="E48" s="139">
        <f t="shared" si="0"/>
        <v>14995.096754253231</v>
      </c>
    </row>
    <row r="49" spans="2:5" x14ac:dyDescent="0.2">
      <c r="B49" s="127" t="s">
        <v>60</v>
      </c>
      <c r="C49" s="148">
        <f>VLOOKUP(B49,'Summary Table'!$A$4:$S$20,2,FALSE)</f>
        <v>10212.54177015306</v>
      </c>
      <c r="D49" s="148">
        <f>VLOOKUP(B49,'Summary Table'!$A$4:$S$20,3,FALSE)</f>
        <v>4783.1210136077843</v>
      </c>
      <c r="E49" s="139">
        <f t="shared" si="0"/>
        <v>14995.662783760845</v>
      </c>
    </row>
    <row r="50" spans="2:5" ht="15" x14ac:dyDescent="0.25">
      <c r="B50" t="s">
        <v>250</v>
      </c>
      <c r="C50" s="148">
        <f>VLOOKUP(B50,'Summary Table'!$A$4:$S$20,2,FALSE)</f>
        <v>10219.445729866309</v>
      </c>
      <c r="D50" s="148">
        <f>VLOOKUP(B50,'Summary Table'!$A$4:$S$20,3,FALSE)</f>
        <v>4801.1606536756362</v>
      </c>
      <c r="E50" s="139">
        <f t="shared" si="0"/>
        <v>15020.606383541945</v>
      </c>
    </row>
    <row r="51" spans="2:5" x14ac:dyDescent="0.2">
      <c r="B51" s="127" t="s">
        <v>184</v>
      </c>
      <c r="C51" s="148">
        <f>VLOOKUP(B51,'Summary Table'!$A$4:$S$20,2,FALSE)</f>
        <v>10205.100128580674</v>
      </c>
      <c r="D51" s="148">
        <f>VLOOKUP(B51,'Summary Table'!$A$4:$S$20,3,FALSE)</f>
        <v>4819.2489427298742</v>
      </c>
      <c r="E51" s="139">
        <f t="shared" si="0"/>
        <v>15024.349071310549</v>
      </c>
    </row>
    <row r="52" spans="2:5" x14ac:dyDescent="0.2">
      <c r="B52" s="127" t="s">
        <v>202</v>
      </c>
      <c r="C52" s="148">
        <f>VLOOKUP(B52,'Summary Table'!$A$4:$S$20,2,FALSE)</f>
        <v>10227.159624866797</v>
      </c>
      <c r="D52" s="148">
        <f>VLOOKUP(B52,'Summary Table'!$A$4:$S$20,3,FALSE)</f>
        <v>4902.4247782809198</v>
      </c>
      <c r="E52" s="139">
        <f t="shared" si="0"/>
        <v>15129.584403147717</v>
      </c>
    </row>
    <row r="53" spans="2:5" x14ac:dyDescent="0.2">
      <c r="B53" s="127" t="s">
        <v>185</v>
      </c>
      <c r="C53" s="148">
        <f>VLOOKUP(B53,'Summary Table'!$A$4:$S$20,2,FALSE)</f>
        <v>10279.441525823078</v>
      </c>
      <c r="D53" s="148">
        <f>VLOOKUP(B53,'Summary Table'!$A$4:$S$20,3,FALSE)</f>
        <v>4868.2070862180908</v>
      </c>
      <c r="E53" s="139">
        <f t="shared" si="0"/>
        <v>15147.648612041168</v>
      </c>
    </row>
    <row r="54" spans="2:5" x14ac:dyDescent="0.2">
      <c r="B54" s="127" t="s">
        <v>186</v>
      </c>
      <c r="C54" s="148">
        <f>VLOOKUP(B54,'Summary Table'!$A$4:$S$20,2,FALSE)</f>
        <v>10541.422846332467</v>
      </c>
      <c r="D54" s="148">
        <f>VLOOKUP(B54,'Summary Table'!$A$4:$S$20,3,FALSE)</f>
        <v>4812.1486789307301</v>
      </c>
      <c r="E54" s="139">
        <f t="shared" si="0"/>
        <v>15353.571525263196</v>
      </c>
    </row>
    <row r="55" spans="2:5" x14ac:dyDescent="0.2">
      <c r="B55" s="6" t="s">
        <v>251</v>
      </c>
      <c r="C55" s="148">
        <f>VLOOKUP(B55,'Summary Table'!$A$4:$S$20,2,FALSE)</f>
        <v>10593.672088911744</v>
      </c>
      <c r="D55" s="148">
        <f>VLOOKUP(B55,'Summary Table'!$A$4:$S$20,3,FALSE)</f>
        <v>4769.2216303203886</v>
      </c>
      <c r="E55" s="139">
        <f t="shared" si="0"/>
        <v>15362.893719232132</v>
      </c>
    </row>
    <row r="56" spans="2:5" x14ac:dyDescent="0.2">
      <c r="B56" s="127" t="s">
        <v>229</v>
      </c>
      <c r="C56" s="148">
        <f>VLOOKUP(B56,'Summary Table'!$A$4:$S$20,2,FALSE)</f>
        <v>10786.817552719411</v>
      </c>
      <c r="D56" s="148">
        <f>VLOOKUP(B56,'Summary Table'!$A$4:$S$20,3,FALSE)</f>
        <v>4799.5925930641852</v>
      </c>
      <c r="E56" s="139">
        <f t="shared" si="0"/>
        <v>15586.410145783597</v>
      </c>
    </row>
    <row r="57" spans="2:5" x14ac:dyDescent="0.2">
      <c r="B57" s="127" t="s">
        <v>228</v>
      </c>
      <c r="C57" s="148">
        <f>VLOOKUP(B57,'Summary Table'!$A$4:$S$20,2,FALSE)</f>
        <v>11283.172968469011</v>
      </c>
      <c r="D57" s="148">
        <f>VLOOKUP(B57,'Summary Table'!$A$4:$S$20,3,FALSE)</f>
        <v>4842.5936389809376</v>
      </c>
      <c r="E57" s="139">
        <f t="shared" si="0"/>
        <v>16125.766607449948</v>
      </c>
    </row>
    <row r="58" spans="2:5" x14ac:dyDescent="0.2">
      <c r="B58" s="127" t="s">
        <v>187</v>
      </c>
      <c r="C58" s="148">
        <f>VLOOKUP(B58,'Summary Table'!$A$4:$S$20,2,FALSE)</f>
        <v>11654.610545718137</v>
      </c>
      <c r="D58" s="148">
        <f>VLOOKUP(B58,'Summary Table'!$A$4:$S$20,3,FALSE)</f>
        <v>4878.5961933829267</v>
      </c>
      <c r="E58" s="139">
        <f t="shared" si="0"/>
        <v>16533.206739101064</v>
      </c>
    </row>
  </sheetData>
  <sortState xmlns:xlrd2="http://schemas.microsoft.com/office/spreadsheetml/2017/richdata2" ref="B42:E58">
    <sortCondition ref="E42:E58"/>
  </sortState>
  <pageMargins left="0.7" right="0.7" top="0.75" bottom="0.75" header="0.3" footer="0.3"/>
  <pageSetup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C540-9A7A-4EC7-88EA-5FEE029365E2}">
  <dimension ref="B3:G61"/>
  <sheetViews>
    <sheetView tabSelected="1" topLeftCell="A7" workbookViewId="0">
      <selection activeCell="Y9" sqref="Y9"/>
    </sheetView>
  </sheetViews>
  <sheetFormatPr defaultRowHeight="15" x14ac:dyDescent="0.25"/>
  <cols>
    <col min="2" max="2" width="43.5703125" bestFit="1" customWidth="1"/>
  </cols>
  <sheetData>
    <row r="3" spans="2:7" s="111" customFormat="1" ht="75" x14ac:dyDescent="0.25">
      <c r="C3" s="111" t="s">
        <v>220</v>
      </c>
      <c r="D3" s="111" t="s">
        <v>83</v>
      </c>
      <c r="E3" s="111" t="s">
        <v>71</v>
      </c>
      <c r="F3" s="111" t="s">
        <v>267</v>
      </c>
      <c r="G3" s="111" t="s">
        <v>268</v>
      </c>
    </row>
    <row r="4" spans="2:7" x14ac:dyDescent="0.25">
      <c r="B4" s="6" t="s">
        <v>248</v>
      </c>
      <c r="C4" s="151">
        <f>HLOOKUP(B4,'Annual Summaries'!$B$96:$R$125,28,FALSE)/22</f>
        <v>1.4836945062863274</v>
      </c>
      <c r="D4" s="151">
        <f>HLOOKUP(B4,'Annual Summaries'!$B$96:$R$125,29,FALSE)</f>
        <v>2.9672417086309277</v>
      </c>
      <c r="E4" s="151">
        <f>HLOOKUP(B4,'Annual Summaries'!$B$96:$R$125,30,FALSE)</f>
        <v>1.2694291321730551</v>
      </c>
      <c r="F4" s="151">
        <f>D4-E4</f>
        <v>1.6978125764578726</v>
      </c>
      <c r="G4" s="151">
        <f>VLOOKUP(B4,$B$45:$E$61,4,FALSE)</f>
        <v>0.28121829113989616</v>
      </c>
    </row>
    <row r="5" spans="2:7" x14ac:dyDescent="0.25">
      <c r="B5" s="127" t="s">
        <v>88</v>
      </c>
      <c r="C5" s="151">
        <f>HLOOKUP(B5,'Annual Summaries'!$B$96:$R$125,28,FALSE)/22</f>
        <v>1.3660460271354931</v>
      </c>
      <c r="D5" s="151">
        <f>HLOOKUP(B5,'Annual Summaries'!$B$96:$R$125,29,FALSE)</f>
        <v>2.9672417086309277</v>
      </c>
      <c r="E5" s="151">
        <f>HLOOKUP(B5,'Annual Summaries'!$B$96:$R$125,30,FALSE)</f>
        <v>0.86516497864165232</v>
      </c>
      <c r="F5" s="151">
        <f t="shared" ref="F5:F20" si="0">D5-E5</f>
        <v>2.1020767299892755</v>
      </c>
      <c r="G5" s="151">
        <f t="shared" ref="G5:G20" si="1">VLOOKUP(B5,$B$45:$E$61,4,FALSE)</f>
        <v>0.89093255677788719</v>
      </c>
    </row>
    <row r="6" spans="2:7" x14ac:dyDescent="0.25">
      <c r="B6" s="127" t="s">
        <v>185</v>
      </c>
      <c r="C6" s="151">
        <f>HLOOKUP(B6,'Annual Summaries'!$B$96:$R$125,28,FALSE)/22</f>
        <v>1.379013697863954</v>
      </c>
      <c r="D6" s="151">
        <f>HLOOKUP(B6,'Annual Summaries'!$B$96:$R$125,29,FALSE)</f>
        <v>2.9672417086309277</v>
      </c>
      <c r="E6" s="151">
        <f>HLOOKUP(B6,'Annual Summaries'!$B$96:$R$125,30,FALSE)</f>
        <v>0.63045428592155606</v>
      </c>
      <c r="F6" s="151">
        <f t="shared" si="0"/>
        <v>2.3367874227093717</v>
      </c>
      <c r="G6" s="151">
        <f t="shared" si="1"/>
        <v>1.6428344254164609</v>
      </c>
    </row>
    <row r="7" spans="2:7" x14ac:dyDescent="0.25">
      <c r="B7" s="127" t="s">
        <v>184</v>
      </c>
      <c r="C7" s="151">
        <f>HLOOKUP(B7,'Annual Summaries'!$B$96:$R$125,28,FALSE)/22</f>
        <v>1.3888796902416181</v>
      </c>
      <c r="D7" s="151">
        <f>HLOOKUP(B7,'Annual Summaries'!$B$96:$R$125,29,FALSE)</f>
        <v>2.9672417086309277</v>
      </c>
      <c r="E7" s="151">
        <f>HLOOKUP(B7,'Annual Summaries'!$B$96:$R$125,30,FALSE)</f>
        <v>0.57997833399660692</v>
      </c>
      <c r="F7" s="151">
        <f t="shared" si="0"/>
        <v>2.3872633746343208</v>
      </c>
      <c r="G7" s="151">
        <f t="shared" si="1"/>
        <v>1.7583616761386573</v>
      </c>
    </row>
    <row r="8" spans="2:7" x14ac:dyDescent="0.25">
      <c r="B8" s="127" t="s">
        <v>183</v>
      </c>
      <c r="C8" s="151">
        <f>HLOOKUP(B8,'Annual Summaries'!$B$96:$R$125,28,FALSE)/22</f>
        <v>1.3521126998318778</v>
      </c>
      <c r="D8" s="151">
        <f>HLOOKUP(B8,'Annual Summaries'!$B$96:$R$125,29,FALSE)</f>
        <v>2.9672417086309277</v>
      </c>
      <c r="E8" s="151">
        <f>HLOOKUP(B8,'Annual Summaries'!$B$96:$R$125,30,FALSE)</f>
        <v>0.57662421016115184</v>
      </c>
      <c r="F8" s="151">
        <f t="shared" si="0"/>
        <v>2.3906174984697759</v>
      </c>
      <c r="G8" s="151">
        <f t="shared" si="1"/>
        <v>1.4950192207002053</v>
      </c>
    </row>
    <row r="9" spans="2:7" x14ac:dyDescent="0.25">
      <c r="B9" s="127" t="s">
        <v>60</v>
      </c>
      <c r="C9" s="151">
        <f>HLOOKUP(B9,'Annual Summaries'!$B$96:$R$125,28,FALSE)/22</f>
        <v>1.3583567504666005</v>
      </c>
      <c r="D9" s="151">
        <f>HLOOKUP(B9,'Annual Summaries'!$B$96:$R$125,29,FALSE)</f>
        <v>2.9672417086309277</v>
      </c>
      <c r="E9" s="151">
        <f>HLOOKUP(B9,'Annual Summaries'!$B$96:$R$125,30,FALSE)</f>
        <v>0.56058855046191713</v>
      </c>
      <c r="F9" s="151">
        <f t="shared" si="0"/>
        <v>2.4066531581690107</v>
      </c>
      <c r="G9" s="151">
        <f t="shared" si="1"/>
        <v>1.7748277456160868</v>
      </c>
    </row>
    <row r="10" spans="2:7" x14ac:dyDescent="0.25">
      <c r="B10" s="127" t="s">
        <v>186</v>
      </c>
      <c r="C10" s="151">
        <f>HLOOKUP(B10,'Annual Summaries'!$B$96:$R$125,28,FALSE)/22</f>
        <v>1.3623073958811756</v>
      </c>
      <c r="D10" s="151">
        <f>HLOOKUP(B10,'Annual Summaries'!$B$96:$R$125,29,FALSE)</f>
        <v>2.9672417086309277</v>
      </c>
      <c r="E10" s="151">
        <f>HLOOKUP(B10,'Annual Summaries'!$B$96:$R$125,30,FALSE)</f>
        <v>0.55708438269404459</v>
      </c>
      <c r="F10" s="151">
        <f t="shared" si="0"/>
        <v>2.4101573259368831</v>
      </c>
      <c r="G10" s="151">
        <f t="shared" si="1"/>
        <v>1.5437001312721437</v>
      </c>
    </row>
    <row r="11" spans="2:7" x14ac:dyDescent="0.25">
      <c r="B11" s="127" t="s">
        <v>203</v>
      </c>
      <c r="C11" s="151">
        <f>HLOOKUP(B11,'Annual Summaries'!$B$96:$R$125,28,FALSE)/22</f>
        <v>1.3164632006071779</v>
      </c>
      <c r="D11" s="151">
        <f>HLOOKUP(B11,'Annual Summaries'!$B$96:$R$125,29,FALSE)</f>
        <v>2.9672417086309277</v>
      </c>
      <c r="E11" s="151">
        <f>HLOOKUP(B11,'Annual Summaries'!$B$96:$R$125,30,FALSE)</f>
        <v>0.54381120102740121</v>
      </c>
      <c r="F11" s="151">
        <f t="shared" si="0"/>
        <v>2.4234305076035265</v>
      </c>
      <c r="G11" s="151">
        <f t="shared" si="1"/>
        <v>1.856894721940034</v>
      </c>
    </row>
    <row r="12" spans="2:7" x14ac:dyDescent="0.25">
      <c r="B12" s="127" t="s">
        <v>187</v>
      </c>
      <c r="C12" s="151">
        <f>HLOOKUP(B12,'Annual Summaries'!$B$96:$R$125,28,FALSE)/22</f>
        <v>1.3690092020545817</v>
      </c>
      <c r="D12" s="151">
        <f>HLOOKUP(B12,'Annual Summaries'!$B$96:$R$125,29,FALSE)</f>
        <v>2.9672417086309277</v>
      </c>
      <c r="E12" s="151">
        <f>HLOOKUP(B12,'Annual Summaries'!$B$96:$R$125,30,FALSE)</f>
        <v>0.54238418225718488</v>
      </c>
      <c r="F12" s="151">
        <f t="shared" si="0"/>
        <v>2.4248575263737431</v>
      </c>
      <c r="G12" s="151">
        <f t="shared" si="1"/>
        <v>1.1333031583887372</v>
      </c>
    </row>
    <row r="13" spans="2:7" x14ac:dyDescent="0.25">
      <c r="B13" s="6" t="s">
        <v>251</v>
      </c>
      <c r="C13" s="151">
        <f>HLOOKUP(B13,'Annual Summaries'!$B$96:$R$125,28,FALSE)/22</f>
        <v>1.3689562754989033</v>
      </c>
      <c r="D13" s="151">
        <f>HLOOKUP(B13,'Annual Summaries'!$B$96:$R$125,29,FALSE)</f>
        <v>2.9672417086309277</v>
      </c>
      <c r="E13" s="151">
        <f>HLOOKUP(B13,'Annual Summaries'!$B$96:$R$125,30,FALSE)</f>
        <v>0.53314988980288502</v>
      </c>
      <c r="F13" s="151">
        <f t="shared" si="0"/>
        <v>2.4340918188280427</v>
      </c>
      <c r="G13" s="151">
        <f t="shared" si="1"/>
        <v>1.4834001910420826</v>
      </c>
    </row>
    <row r="14" spans="2:7" x14ac:dyDescent="0.25">
      <c r="B14" s="127" t="s">
        <v>229</v>
      </c>
      <c r="C14" s="151">
        <f>HLOOKUP(B14,'Annual Summaries'!$B$96:$R$125,28,FALSE)/22</f>
        <v>1.3432409140808093</v>
      </c>
      <c r="D14" s="151">
        <f>HLOOKUP(B14,'Annual Summaries'!$B$96:$R$125,29,FALSE)</f>
        <v>2.9672417086309277</v>
      </c>
      <c r="E14" s="151">
        <f>HLOOKUP(B14,'Annual Summaries'!$B$96:$R$125,30,FALSE)</f>
        <v>0.52686626434900963</v>
      </c>
      <c r="F14" s="151">
        <f t="shared" si="0"/>
        <v>2.4403754442819183</v>
      </c>
      <c r="G14" s="151">
        <f t="shared" si="1"/>
        <v>1.6573155918992997</v>
      </c>
    </row>
    <row r="15" spans="2:7" x14ac:dyDescent="0.25">
      <c r="B15" s="127" t="s">
        <v>228</v>
      </c>
      <c r="C15" s="151">
        <f>HLOOKUP(B15,'Annual Summaries'!$B$96:$R$125,28,FALSE)/22</f>
        <v>1.3617475692605647</v>
      </c>
      <c r="D15" s="151">
        <f>HLOOKUP(B15,'Annual Summaries'!$B$96:$R$125,29,FALSE)</f>
        <v>2.9672417086309277</v>
      </c>
      <c r="E15" s="151">
        <f>HLOOKUP(B15,'Annual Summaries'!$B$96:$R$125,30,FALSE)</f>
        <v>0.52096860799196398</v>
      </c>
      <c r="F15" s="151">
        <f t="shared" si="0"/>
        <v>2.4462731006389635</v>
      </c>
      <c r="G15" s="151">
        <f t="shared" si="1"/>
        <v>1.3278705864128399</v>
      </c>
    </row>
    <row r="16" spans="2:7" x14ac:dyDescent="0.25">
      <c r="B16" s="127" t="s">
        <v>204</v>
      </c>
      <c r="C16" s="151">
        <f>HLOOKUP(B16,'Annual Summaries'!$B$96:$R$125,28,FALSE)/22</f>
        <v>1.3098419341434697</v>
      </c>
      <c r="D16" s="151">
        <f>HLOOKUP(B16,'Annual Summaries'!$B$96:$R$125,29,FALSE)</f>
        <v>2.9672417086309277</v>
      </c>
      <c r="E16" s="151">
        <f>HLOOKUP(B16,'Annual Summaries'!$B$96:$R$125,30,FALSE)</f>
        <v>0.46777336104638978</v>
      </c>
      <c r="F16" s="151">
        <f t="shared" si="0"/>
        <v>2.4994683475845378</v>
      </c>
      <c r="G16" s="151">
        <f t="shared" si="1"/>
        <v>1.7103163829838632</v>
      </c>
    </row>
    <row r="17" spans="2:7" x14ac:dyDescent="0.25">
      <c r="B17" s="127" t="s">
        <v>219</v>
      </c>
      <c r="C17" s="151">
        <f>HLOOKUP(B17,'Annual Summaries'!$B$96:$R$125,28,FALSE)/22</f>
        <v>1.2694445549343583</v>
      </c>
      <c r="D17" s="151">
        <f>HLOOKUP(B17,'Annual Summaries'!$B$96:$R$125,29,FALSE)</f>
        <v>2.9672417086309277</v>
      </c>
      <c r="E17" s="151">
        <f>HLOOKUP(B17,'Annual Summaries'!$B$96:$R$125,30,FALSE)</f>
        <v>0.44913627874999995</v>
      </c>
      <c r="F17" s="151">
        <f t="shared" si="0"/>
        <v>2.5181054298809276</v>
      </c>
      <c r="G17" s="151">
        <f t="shared" si="1"/>
        <v>1.8862800173280041</v>
      </c>
    </row>
    <row r="18" spans="2:7" x14ac:dyDescent="0.25">
      <c r="B18" t="s">
        <v>250</v>
      </c>
      <c r="C18" s="151">
        <f>HLOOKUP(B18,'Annual Summaries'!$B$96:$R$125,28,FALSE)/22</f>
        <v>1.2891082235611055</v>
      </c>
      <c r="D18" s="151">
        <f>HLOOKUP(B18,'Annual Summaries'!$B$96:$R$125,29,FALSE)</f>
        <v>2.9672417086309277</v>
      </c>
      <c r="E18" s="151">
        <f>HLOOKUP(B18,'Annual Summaries'!$B$96:$R$125,30,FALSE)</f>
        <v>0.43934749317180632</v>
      </c>
      <c r="F18" s="151">
        <f t="shared" si="0"/>
        <v>2.5278942154591215</v>
      </c>
      <c r="G18" s="151">
        <f t="shared" si="1"/>
        <v>1.9122920555998344</v>
      </c>
    </row>
    <row r="19" spans="2:7" x14ac:dyDescent="0.25">
      <c r="B19" s="6" t="s">
        <v>249</v>
      </c>
      <c r="C19" s="151">
        <f>HLOOKUP(B19,'Annual Summaries'!$B$96:$R$125,28,FALSE)/22</f>
        <v>1.256297111138222</v>
      </c>
      <c r="D19" s="151">
        <f>HLOOKUP(B19,'Annual Summaries'!$B$96:$R$125,29,FALSE)</f>
        <v>2.9672417086309277</v>
      </c>
      <c r="E19" s="151">
        <f>HLOOKUP(B19,'Annual Summaries'!$B$96:$R$125,30,FALSE)</f>
        <v>0.159892515235</v>
      </c>
      <c r="F19" s="151">
        <f t="shared" si="0"/>
        <v>2.8073491933959276</v>
      </c>
      <c r="G19" s="151">
        <f t="shared" si="1"/>
        <v>-0.78609708721070648</v>
      </c>
    </row>
    <row r="20" spans="2:7" x14ac:dyDescent="0.25">
      <c r="B20" s="127" t="s">
        <v>202</v>
      </c>
      <c r="C20" s="151">
        <f>HLOOKUP(B20,'Annual Summaries'!$B$96:$R$125,28,FALSE)/22</f>
        <v>1.2490292695366312</v>
      </c>
      <c r="D20" s="151">
        <f>HLOOKUP(B20,'Annual Summaries'!$B$96:$R$125,29,FALSE)</f>
        <v>2.9672417086309277</v>
      </c>
      <c r="E20" s="151">
        <f>HLOOKUP(B20,'Annual Summaries'!$B$96:$R$125,30,FALSE)</f>
        <v>0</v>
      </c>
      <c r="F20" s="151">
        <f t="shared" si="0"/>
        <v>2.9672417086309277</v>
      </c>
      <c r="G20" s="151">
        <f t="shared" si="1"/>
        <v>2.5358139107673718</v>
      </c>
    </row>
    <row r="23" spans="2:7" x14ac:dyDescent="0.25">
      <c r="C23" t="s">
        <v>222</v>
      </c>
      <c r="D23" t="s">
        <v>221</v>
      </c>
    </row>
    <row r="24" spans="2:7" x14ac:dyDescent="0.25">
      <c r="B24" s="127" t="s">
        <v>60</v>
      </c>
    </row>
    <row r="25" spans="2:7" x14ac:dyDescent="0.25">
      <c r="B25" s="127" t="s">
        <v>88</v>
      </c>
      <c r="C25">
        <f>HLOOKUP($B25,'Annual Summaries'!$B$96:$R$123,28,FALSE)-'Annual Summaries'!$B$123</f>
        <v>0.16916408671563943</v>
      </c>
      <c r="D25" s="50">
        <f>'Summary Table'!D5-'Summary Table'!$D$4</f>
        <v>-95.608395723293143</v>
      </c>
    </row>
    <row r="26" spans="2:7" x14ac:dyDescent="0.25">
      <c r="B26" s="6" t="s">
        <v>248</v>
      </c>
      <c r="C26">
        <f>HLOOKUP($B26,'Annual Summaries'!$B$96:$R$123,28,FALSE)-'Annual Summaries'!$B$123</f>
        <v>2.757430628033994</v>
      </c>
      <c r="D26" s="50">
        <f>'Summary Table'!D6-'Summary Table'!$D$4</f>
        <v>-143.36530719945404</v>
      </c>
    </row>
    <row r="27" spans="2:7" x14ac:dyDescent="0.25">
      <c r="B27" s="127" t="s">
        <v>219</v>
      </c>
      <c r="C27">
        <f>HLOOKUP($B27,'Annual Summaries'!$B$96:$R$123,28,FALSE)-'Annual Summaries'!$B$123</f>
        <v>-1.9560683017093261</v>
      </c>
      <c r="D27" s="50">
        <f>'Summary Table'!D7-'Summary Table'!$D$4</f>
        <v>-316.65083120877352</v>
      </c>
    </row>
    <row r="28" spans="2:7" x14ac:dyDescent="0.25">
      <c r="B28" s="6" t="s">
        <v>249</v>
      </c>
      <c r="C28">
        <f>HLOOKUP($B28,'Annual Summaries'!$B$96:$R$123,28,FALSE)-'Annual Summaries'!$B$123</f>
        <v>-2.2453120652243257</v>
      </c>
      <c r="D28" s="50">
        <f>'Summary Table'!D8-'Summary Table'!$D$4</f>
        <v>-15.981349729036083</v>
      </c>
    </row>
    <row r="29" spans="2:7" x14ac:dyDescent="0.25">
      <c r="B29" s="127" t="s">
        <v>183</v>
      </c>
      <c r="C29">
        <f>HLOOKUP($B29,'Annual Summaries'!$B$96:$R$123,28,FALSE)-'Annual Summaries'!$B$123</f>
        <v>-0.13736911396389928</v>
      </c>
      <c r="D29" s="50">
        <f>'Summary Table'!D9-'Summary Table'!$D$4</f>
        <v>-0.56602950761407556</v>
      </c>
    </row>
    <row r="30" spans="2:7" x14ac:dyDescent="0.25">
      <c r="B30" t="s">
        <v>203</v>
      </c>
      <c r="C30">
        <f>HLOOKUP($B30,'Annual Summaries'!$B$96:$R$123,28,FALSE)-'Annual Summaries'!$B$123</f>
        <v>-0.92165809690729716</v>
      </c>
      <c r="D30" s="50">
        <f>'Summary Table'!D10-'Summary Table'!$D$4</f>
        <v>-106.18367857816884</v>
      </c>
    </row>
    <row r="31" spans="2:7" x14ac:dyDescent="0.25">
      <c r="B31" s="127" t="s">
        <v>184</v>
      </c>
      <c r="C31">
        <f>HLOOKUP($B31,'Annual Summaries'!$B$96:$R$123,28,FALSE)-'Annual Summaries'!$B$123</f>
        <v>0.67150467505038591</v>
      </c>
      <c r="D31" s="50">
        <f>'Summary Table'!D11-'Summary Table'!$D$4</f>
        <v>28.686287549704502</v>
      </c>
    </row>
    <row r="32" spans="2:7" x14ac:dyDescent="0.25">
      <c r="B32" s="127" t="s">
        <v>204</v>
      </c>
      <c r="C32">
        <f>HLOOKUP($B32,'Annual Summaries'!$B$96:$R$123,28,FALSE)-'Annual Summaries'!$B$123</f>
        <v>-1.067325959108878</v>
      </c>
      <c r="D32" s="50">
        <f>'Summary Table'!D12-'Summary Table'!$D$4</f>
        <v>-179.75001878723015</v>
      </c>
    </row>
    <row r="33" spans="2:5" x14ac:dyDescent="0.25">
      <c r="B33" s="127" t="s">
        <v>185</v>
      </c>
      <c r="C33">
        <f>HLOOKUP($B33,'Annual Summaries'!$B$96:$R$123,28,FALSE)-'Annual Summaries'!$B$123</f>
        <v>0.45445284274177666</v>
      </c>
      <c r="D33" s="50">
        <f>'Summary Table'!D13-'Summary Table'!$D$4</f>
        <v>151.9858282803234</v>
      </c>
    </row>
    <row r="34" spans="2:5" x14ac:dyDescent="0.25">
      <c r="B34" s="127" t="s">
        <v>186</v>
      </c>
      <c r="C34">
        <f>HLOOKUP($B34,'Annual Summaries'!$B$96:$R$123,28,FALSE)-'Annual Summaries'!$B$123</f>
        <v>8.6914199120652569E-2</v>
      </c>
      <c r="D34" s="50">
        <f>'Summary Table'!D14-'Summary Table'!$D$4</f>
        <v>357.9087415023514</v>
      </c>
    </row>
    <row r="35" spans="2:5" x14ac:dyDescent="0.25">
      <c r="B35" s="127" t="s">
        <v>228</v>
      </c>
      <c r="C35">
        <f>HLOOKUP($B35,'Annual Summaries'!$B$96:$R$123,28,FALSE)-'Annual Summaries'!$B$123</f>
        <v>7.4598013467213065E-2</v>
      </c>
      <c r="D35" s="50">
        <f>'Summary Table'!D15-'Summary Table'!$D$4</f>
        <v>1130.1038236891036</v>
      </c>
    </row>
    <row r="36" spans="2:5" x14ac:dyDescent="0.25">
      <c r="B36" s="127" t="s">
        <v>229</v>
      </c>
      <c r="C36">
        <f>HLOOKUP($B36,'Annual Summaries'!$B$96:$R$123,28,FALSE)-'Annual Summaries'!$B$123</f>
        <v>-0.33254840048740419</v>
      </c>
      <c r="D36" s="50">
        <f>'Summary Table'!D16-'Summary Table'!$D$4</f>
        <v>590.74736202275199</v>
      </c>
    </row>
    <row r="37" spans="2:5" x14ac:dyDescent="0.25">
      <c r="B37" s="127" t="s">
        <v>187</v>
      </c>
      <c r="C37">
        <f>HLOOKUP($B37,'Annual Summaries'!$B$96:$R$123,28,FALSE)-'Annual Summaries'!$B$123</f>
        <v>0.2343539349355872</v>
      </c>
      <c r="D37" s="50">
        <f>'Summary Table'!D17-'Summary Table'!$D$4</f>
        <v>1537.5439553402193</v>
      </c>
    </row>
    <row r="38" spans="2:5" x14ac:dyDescent="0.25">
      <c r="B38" s="127" t="s">
        <v>202</v>
      </c>
      <c r="C38">
        <f>HLOOKUP($B38,'Annual Summaries'!$B$96:$R$123,28,FALSE)-'Annual Summaries'!$B$123</f>
        <v>-2.4052045804593263</v>
      </c>
      <c r="D38" s="50">
        <f>'Summary Table'!D18-'Summary Table'!$D$4</f>
        <v>133.92161938687241</v>
      </c>
    </row>
    <row r="39" spans="2:5" x14ac:dyDescent="0.25">
      <c r="B39" t="s">
        <v>250</v>
      </c>
      <c r="C39">
        <f>HLOOKUP($B39,'Annual Summaries'!$B$96:$R$123,28,FALSE)-'Annual Summaries'!$B$123</f>
        <v>-1.5234675919208875</v>
      </c>
      <c r="D39" s="50">
        <f>'Summary Table'!D19-'Summary Table'!$D$4</f>
        <v>24.943599781099692</v>
      </c>
    </row>
    <row r="40" spans="2:5" x14ac:dyDescent="0.25">
      <c r="B40" s="6" t="s">
        <v>251</v>
      </c>
      <c r="C40">
        <f>HLOOKUP($B40,'Annual Summaries'!$B$96:$R$123,28,FALSE)-'Annual Summaries'!$B$123</f>
        <v>0.23318955071066227</v>
      </c>
      <c r="D40" s="50">
        <f>'Summary Table'!D20-'Summary Table'!$D$4</f>
        <v>367.23093547128701</v>
      </c>
    </row>
    <row r="44" spans="2:5" x14ac:dyDescent="0.25">
      <c r="C44">
        <v>2045</v>
      </c>
      <c r="D44">
        <v>2024</v>
      </c>
    </row>
    <row r="45" spans="2:5" x14ac:dyDescent="0.25">
      <c r="B45" s="127" t="s">
        <v>60</v>
      </c>
      <c r="C45">
        <f>SUMIFS('Summary Data'!$P$4:$P$466,'Summary Data'!$B$4:$B$466,$B45,'Summary Data'!$C$4:$C$466,C$44)</f>
        <v>0.67838922374037702</v>
      </c>
      <c r="D45">
        <f>SUMIFS('Summary Data'!$P$4:$P$466,'Summary Data'!$B$4:$B$466,$B45,'Summary Data'!$C$4:$C$466,D$44)</f>
        <v>2.4532169693564638</v>
      </c>
      <c r="E45">
        <f>D45-C45</f>
        <v>1.7748277456160868</v>
      </c>
    </row>
    <row r="46" spans="2:5" x14ac:dyDescent="0.25">
      <c r="B46" s="127" t="s">
        <v>88</v>
      </c>
      <c r="C46">
        <f>SUMIFS('Summary Data'!$P$4:$P$466,'Summary Data'!$B$4:$B$466,$B46,'Summary Data'!$C$4:$C$466,C$44)</f>
        <v>1.5625022608199211</v>
      </c>
      <c r="D46">
        <f>SUMIFS('Summary Data'!$P$4:$P$466,'Summary Data'!$B$4:$B$466,$B46,'Summary Data'!$C$4:$C$466,D$44)</f>
        <v>2.4534348175978082</v>
      </c>
      <c r="E46">
        <f t="shared" ref="E46:E61" si="2">D46-C46</f>
        <v>0.89093255677788719</v>
      </c>
    </row>
    <row r="47" spans="2:5" x14ac:dyDescent="0.25">
      <c r="B47" s="6" t="s">
        <v>248</v>
      </c>
      <c r="C47">
        <f>SUMIFS('Summary Data'!$P$4:$P$466,'Summary Data'!$B$4:$B$466,$B47,'Summary Data'!$C$4:$C$466,C$44)</f>
        <v>2.1722212896917545</v>
      </c>
      <c r="D47">
        <f>SUMIFS('Summary Data'!$P$4:$P$466,'Summary Data'!$B$4:$B$466,$B47,'Summary Data'!$C$4:$C$466,D$44)</f>
        <v>2.4534395808316507</v>
      </c>
      <c r="E47">
        <f t="shared" si="2"/>
        <v>0.28121829113989616</v>
      </c>
    </row>
    <row r="48" spans="2:5" x14ac:dyDescent="0.25">
      <c r="B48" s="127" t="s">
        <v>219</v>
      </c>
      <c r="C48">
        <f>SUMIFS('Summary Data'!$P$4:$P$466,'Summary Data'!$B$4:$B$466,$B48,'Summary Data'!$C$4:$C$466,C$44)</f>
        <v>0.56693695202845984</v>
      </c>
      <c r="D48">
        <f>SUMIFS('Summary Data'!$P$4:$P$466,'Summary Data'!$B$4:$B$466,$B48,'Summary Data'!$C$4:$C$466,D$44)</f>
        <v>2.4532169693564638</v>
      </c>
      <c r="E48">
        <f t="shared" si="2"/>
        <v>1.8862800173280041</v>
      </c>
    </row>
    <row r="49" spans="2:5" x14ac:dyDescent="0.25">
      <c r="B49" s="6" t="s">
        <v>249</v>
      </c>
      <c r="C49">
        <f>SUMIFS('Summary Data'!$P$4:$P$466,'Summary Data'!$B$4:$B$466,$B49,'Summary Data'!$C$4:$C$466,C$44)</f>
        <v>3.2395366680423572</v>
      </c>
      <c r="D49">
        <f>SUMIFS('Summary Data'!$P$4:$P$466,'Summary Data'!$B$4:$B$466,$B49,'Summary Data'!$C$4:$C$466,D$44)</f>
        <v>2.4534395808316507</v>
      </c>
      <c r="E49">
        <f>D49-C49</f>
        <v>-0.78609708721070648</v>
      </c>
    </row>
    <row r="50" spans="2:5" x14ac:dyDescent="0.25">
      <c r="B50" s="127" t="s">
        <v>183</v>
      </c>
      <c r="C50">
        <f>SUMIFS('Summary Data'!$P$4:$P$466,'Summary Data'!$B$4:$B$466,$B50,'Summary Data'!$C$4:$C$466,C$44)</f>
        <v>0.95819774865625862</v>
      </c>
      <c r="D50">
        <f>SUMIFS('Summary Data'!$P$4:$P$466,'Summary Data'!$B$4:$B$466,$B50,'Summary Data'!$C$4:$C$466,D$44)</f>
        <v>2.4532169693564638</v>
      </c>
      <c r="E50">
        <f t="shared" si="2"/>
        <v>1.4950192207002053</v>
      </c>
    </row>
    <row r="51" spans="2:5" x14ac:dyDescent="0.25">
      <c r="B51" t="s">
        <v>203</v>
      </c>
      <c r="C51">
        <f>SUMIFS('Summary Data'!$P$4:$P$466,'Summary Data'!$B$4:$B$466,$B51,'Summary Data'!$C$4:$C$466,C$44)</f>
        <v>0.59632224741642992</v>
      </c>
      <c r="D51">
        <f>SUMIFS('Summary Data'!$P$4:$P$466,'Summary Data'!$B$4:$B$466,$B51,'Summary Data'!$C$4:$C$466,D$44)</f>
        <v>2.4532169693564638</v>
      </c>
      <c r="E51">
        <f t="shared" si="2"/>
        <v>1.856894721940034</v>
      </c>
    </row>
    <row r="52" spans="2:5" x14ac:dyDescent="0.25">
      <c r="B52" s="127" t="s">
        <v>184</v>
      </c>
      <c r="C52">
        <f>SUMIFS('Summary Data'!$P$4:$P$466,'Summary Data'!$B$4:$B$466,$B52,'Summary Data'!$C$4:$C$466,C$44)</f>
        <v>0.69485529321780637</v>
      </c>
      <c r="D52">
        <f>SUMIFS('Summary Data'!$P$4:$P$466,'Summary Data'!$B$4:$B$466,$B52,'Summary Data'!$C$4:$C$466,D$44)</f>
        <v>2.4532169693564638</v>
      </c>
      <c r="E52">
        <f t="shared" si="2"/>
        <v>1.7583616761386573</v>
      </c>
    </row>
    <row r="53" spans="2:5" x14ac:dyDescent="0.25">
      <c r="B53" s="127" t="s">
        <v>204</v>
      </c>
      <c r="C53">
        <f>SUMIFS('Summary Data'!$P$4:$P$466,'Summary Data'!$B$4:$B$466,$B53,'Summary Data'!$C$4:$C$466,C$44)</f>
        <v>0.74290058637260059</v>
      </c>
      <c r="D53">
        <f>SUMIFS('Summary Data'!$P$4:$P$466,'Summary Data'!$B$4:$B$466,$B53,'Summary Data'!$C$4:$C$466,D$44)</f>
        <v>2.4532169693564638</v>
      </c>
      <c r="E53">
        <f t="shared" si="2"/>
        <v>1.7103163829838632</v>
      </c>
    </row>
    <row r="54" spans="2:5" x14ac:dyDescent="0.25">
      <c r="B54" s="127" t="s">
        <v>185</v>
      </c>
      <c r="C54">
        <f>SUMIFS('Summary Data'!$P$4:$P$466,'Summary Data'!$B$4:$B$466,$B54,'Summary Data'!$C$4:$C$466,C$44)</f>
        <v>0.81038254064463111</v>
      </c>
      <c r="D54">
        <f>SUMIFS('Summary Data'!$P$4:$P$466,'Summary Data'!$B$4:$B$466,$B54,'Summary Data'!$C$4:$C$466,D$44)</f>
        <v>2.4532169660610919</v>
      </c>
      <c r="E54">
        <f t="shared" si="2"/>
        <v>1.6428344254164609</v>
      </c>
    </row>
    <row r="55" spans="2:5" x14ac:dyDescent="0.25">
      <c r="B55" s="127" t="s">
        <v>186</v>
      </c>
      <c r="C55">
        <f>SUMIFS('Summary Data'!$P$4:$P$466,'Summary Data'!$B$4:$B$466,$B55,'Summary Data'!$C$4:$C$466,C$44)</f>
        <v>0.90951683808432016</v>
      </c>
      <c r="D55">
        <f>SUMIFS('Summary Data'!$P$4:$P$466,'Summary Data'!$B$4:$B$466,$B55,'Summary Data'!$C$4:$C$466,D$44)</f>
        <v>2.4532169693564638</v>
      </c>
      <c r="E55">
        <f t="shared" si="2"/>
        <v>1.5437001312721437</v>
      </c>
    </row>
    <row r="56" spans="2:5" x14ac:dyDescent="0.25">
      <c r="B56" s="127" t="s">
        <v>228</v>
      </c>
      <c r="C56">
        <f>SUMIFS('Summary Data'!$P$4:$P$466,'Summary Data'!$B$4:$B$466,$B56,'Summary Data'!$C$4:$C$466,C$44)</f>
        <v>1.1253463829436239</v>
      </c>
      <c r="D56">
        <f>SUMIFS('Summary Data'!$P$4:$P$466,'Summary Data'!$B$4:$B$466,$B56,'Summary Data'!$C$4:$C$466,D$44)</f>
        <v>2.4532169693564638</v>
      </c>
      <c r="E56">
        <f t="shared" si="2"/>
        <v>1.3278705864128399</v>
      </c>
    </row>
    <row r="57" spans="2:5" x14ac:dyDescent="0.25">
      <c r="B57" s="127" t="s">
        <v>229</v>
      </c>
      <c r="C57">
        <f>SUMIFS('Summary Data'!$P$4:$P$466,'Summary Data'!$B$4:$B$466,$B57,'Summary Data'!$C$4:$C$466,C$44)</f>
        <v>0.79590144144996944</v>
      </c>
      <c r="D57">
        <f>SUMIFS('Summary Data'!$P$4:$P$466,'Summary Data'!$B$4:$B$466,$B57,'Summary Data'!$C$4:$C$466,D$44)</f>
        <v>2.4532170333492691</v>
      </c>
      <c r="E57">
        <f t="shared" si="2"/>
        <v>1.6573155918992997</v>
      </c>
    </row>
    <row r="58" spans="2:5" x14ac:dyDescent="0.25">
      <c r="B58" s="127" t="s">
        <v>187</v>
      </c>
      <c r="C58">
        <f>SUMIFS('Summary Data'!$P$4:$P$466,'Summary Data'!$B$4:$B$466,$B58,'Summary Data'!$C$4:$C$466,C$44)</f>
        <v>1.3199138109677266</v>
      </c>
      <c r="D58">
        <f>SUMIFS('Summary Data'!$P$4:$P$466,'Summary Data'!$B$4:$B$466,$B58,'Summary Data'!$C$4:$C$466,D$44)</f>
        <v>2.4532169693564638</v>
      </c>
      <c r="E58">
        <f t="shared" si="2"/>
        <v>1.1333031583887372</v>
      </c>
    </row>
    <row r="59" spans="2:5" x14ac:dyDescent="0.25">
      <c r="B59" s="127" t="s">
        <v>202</v>
      </c>
      <c r="C59">
        <f>SUMIFS('Summary Data'!$P$4:$P$466,'Summary Data'!$B$4:$B$466,$B59,'Summary Data'!$C$4:$C$466,C$44)</f>
        <v>-8.259694141090819E-2</v>
      </c>
      <c r="D59">
        <f>SUMIFS('Summary Data'!$P$4:$P$466,'Summary Data'!$B$4:$B$466,$B59,'Summary Data'!$C$4:$C$466,D$44)</f>
        <v>2.4532169693564638</v>
      </c>
      <c r="E59">
        <f t="shared" si="2"/>
        <v>2.5358139107673718</v>
      </c>
    </row>
    <row r="60" spans="2:5" x14ac:dyDescent="0.25">
      <c r="B60" t="s">
        <v>250</v>
      </c>
      <c r="C60">
        <f>SUMIFS('Summary Data'!$P$4:$P$466,'Summary Data'!$B$4:$B$466,$B60,'Summary Data'!$C$4:$C$466,C$44)</f>
        <v>0.54092491375662943</v>
      </c>
      <c r="D60">
        <f>SUMIFS('Summary Data'!$P$4:$P$466,'Summary Data'!$B$4:$B$466,$B60,'Summary Data'!$C$4:$C$466,D$44)</f>
        <v>2.4532169693564638</v>
      </c>
      <c r="E60">
        <f t="shared" si="2"/>
        <v>1.9122920555998344</v>
      </c>
    </row>
    <row r="61" spans="2:5" x14ac:dyDescent="0.25">
      <c r="B61" s="6" t="s">
        <v>251</v>
      </c>
      <c r="C61">
        <f>SUMIFS('Summary Data'!$P$4:$P$466,'Summary Data'!$B$4:$B$466,$B61,'Summary Data'!$C$4:$C$466,C$44)</f>
        <v>0.96960364779071595</v>
      </c>
      <c r="D61">
        <f>SUMIFS('Summary Data'!$P$4:$P$466,'Summary Data'!$B$4:$B$466,$B61,'Summary Data'!$C$4:$C$466,D$44)</f>
        <v>2.4530038388327986</v>
      </c>
      <c r="E61">
        <f t="shared" si="2"/>
        <v>1.4834001910420826</v>
      </c>
    </row>
  </sheetData>
  <sortState xmlns:xlrd2="http://schemas.microsoft.com/office/spreadsheetml/2017/richdata2" ref="B4:F20">
    <sortCondition ref="F4:F20"/>
  </sortState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26D8-AAB8-41C1-BC46-0FFAE53E58D7}">
  <dimension ref="A3:AD63"/>
  <sheetViews>
    <sheetView topLeftCell="A57" workbookViewId="0">
      <selection activeCell="L92" sqref="L92"/>
    </sheetView>
  </sheetViews>
  <sheetFormatPr defaultRowHeight="12.75" x14ac:dyDescent="0.2"/>
  <cols>
    <col min="1" max="1" width="45.28515625" style="127" bestFit="1" customWidth="1"/>
    <col min="2" max="2" width="12.28515625" style="127" customWidth="1"/>
    <col min="3" max="3" width="9.28515625" style="127" bestFit="1" customWidth="1"/>
    <col min="4" max="4" width="9.140625" style="127"/>
    <col min="5" max="5" width="10.28515625" style="127" bestFit="1" customWidth="1"/>
    <col min="6" max="6" width="16.5703125" style="127" bestFit="1" customWidth="1"/>
    <col min="7" max="16384" width="9.140625" style="127"/>
  </cols>
  <sheetData>
    <row r="3" spans="1:30" ht="38.25" x14ac:dyDescent="0.2">
      <c r="A3" s="127" t="s">
        <v>30</v>
      </c>
      <c r="B3" s="127" t="s">
        <v>227</v>
      </c>
      <c r="C3" s="145" t="s">
        <v>224</v>
      </c>
      <c r="D3" s="145" t="s">
        <v>225</v>
      </c>
      <c r="E3" s="145" t="s">
        <v>226</v>
      </c>
      <c r="H3" s="127">
        <v>2023</v>
      </c>
      <c r="I3" s="127">
        <v>2024</v>
      </c>
      <c r="J3" s="127">
        <v>2025</v>
      </c>
      <c r="K3" s="127">
        <v>2026</v>
      </c>
      <c r="L3" s="127">
        <v>2027</v>
      </c>
      <c r="M3" s="127">
        <v>2028</v>
      </c>
      <c r="N3" s="127">
        <v>2029</v>
      </c>
      <c r="O3" s="127">
        <v>2030</v>
      </c>
      <c r="P3" s="127">
        <v>2031</v>
      </c>
      <c r="Q3" s="127">
        <v>2032</v>
      </c>
      <c r="R3" s="127">
        <v>2033</v>
      </c>
      <c r="S3" s="127">
        <v>2034</v>
      </c>
      <c r="T3" s="127">
        <v>2035</v>
      </c>
      <c r="U3" s="127">
        <v>2036</v>
      </c>
      <c r="V3" s="127">
        <v>2037</v>
      </c>
      <c r="W3" s="127">
        <v>2038</v>
      </c>
      <c r="X3" s="127">
        <v>2039</v>
      </c>
      <c r="Y3" s="127">
        <v>2040</v>
      </c>
      <c r="Z3" s="127">
        <v>2041</v>
      </c>
      <c r="AA3" s="127">
        <v>2042</v>
      </c>
      <c r="AB3" s="127">
        <v>2043</v>
      </c>
      <c r="AC3" s="127">
        <v>2044</v>
      </c>
      <c r="AD3" s="127">
        <v>2045</v>
      </c>
    </row>
    <row r="4" spans="1:30" x14ac:dyDescent="0.2">
      <c r="A4" s="127" t="str">
        <f>'Scenario List'!A3</f>
        <v>1- Preferred Resource Strategy</v>
      </c>
      <c r="B4" s="156">
        <f>-PMT('Annual Summaries'!$A$1,23,VLOOKUP(A4,'Summary Table'!$A$3:$S$20,4,FALSE))</f>
        <v>1275.1585479621278</v>
      </c>
      <c r="C4" s="152">
        <f>+VLOOKUP(A4,'Summary Table'!$A$3:$S$20,17,FALSE)+VLOOKUP(A4,'Summary Table'!$A$3:$S$20,18,FALSE)</f>
        <v>82.206242898733052</v>
      </c>
      <c r="D4" s="152">
        <f>+VLOOKUP(A4,'Summary Table'!$A$3:$S$20,13,FALSE)+VLOOKUP(A4,'Summary Table'!$A$3:$S$20,15,FALSE)</f>
        <v>33.285033706011603</v>
      </c>
      <c r="E4" s="152">
        <f>+VLOOKUP(A4,'Summary Table'!$A$3:$S$20,14,FALSE)+VLOOKUP(A4,'Summary Table'!$A$3:$S$20,16,FALSE)</f>
        <v>32.591007520801746</v>
      </c>
      <c r="G4" s="186">
        <f>-PMT('Annual Summaries'!$A$1,22,NPV('Annual Summaries'!$A$1,I4:AD4))</f>
        <v>39.958345841230454</v>
      </c>
      <c r="H4" s="186">
        <v>43.903084077962859</v>
      </c>
      <c r="I4" s="186">
        <v>34.720453804515245</v>
      </c>
      <c r="J4" s="186">
        <v>26.853639816593187</v>
      </c>
      <c r="K4" s="186">
        <v>36.017479931668902</v>
      </c>
      <c r="L4" s="186">
        <v>24.847168096470313</v>
      </c>
      <c r="M4" s="186">
        <v>39.425518256339586</v>
      </c>
      <c r="N4" s="186">
        <v>37.414833568811702</v>
      </c>
      <c r="O4" s="186">
        <v>38.453442907737497</v>
      </c>
      <c r="P4" s="186">
        <v>36.629508730143471</v>
      </c>
      <c r="Q4" s="186">
        <v>30.490986355999468</v>
      </c>
      <c r="R4" s="186">
        <v>29.124724000247483</v>
      </c>
      <c r="S4" s="186">
        <v>35.478889499242399</v>
      </c>
      <c r="T4" s="186">
        <v>36.054063219105615</v>
      </c>
      <c r="U4" s="186">
        <v>39.639659139130146</v>
      </c>
      <c r="V4" s="186">
        <v>41.160926563620023</v>
      </c>
      <c r="W4" s="186">
        <v>55.174654718772359</v>
      </c>
      <c r="X4" s="186">
        <v>48.84819486188087</v>
      </c>
      <c r="Y4" s="186">
        <v>59.567476186503796</v>
      </c>
      <c r="Z4" s="186">
        <v>45.484656149783518</v>
      </c>
      <c r="AA4" s="186">
        <v>64.428804723292643</v>
      </c>
      <c r="AB4" s="186">
        <v>73.423843825962251</v>
      </c>
      <c r="AC4" s="186">
        <v>76.310883259537889</v>
      </c>
      <c r="AD4" s="186">
        <v>69.035496701864531</v>
      </c>
    </row>
    <row r="5" spans="1:30" x14ac:dyDescent="0.2">
      <c r="A5" s="127" t="str">
        <f>'Scenario List'!A4</f>
        <v>2- Alternative Lowest Reasonable Cost Portfolio</v>
      </c>
      <c r="B5" s="156">
        <f>-PMT('Annual Summaries'!$A$1,23,VLOOKUP(A5,'Summary Table'!$A$3:$S$20,4,FALSE))</f>
        <v>1267.0284729650075</v>
      </c>
      <c r="C5" s="152">
        <f>+VLOOKUP(A5,'Summary Table'!$A$3:$S$20,17,FALSE)+VLOOKUP(A5,'Summary Table'!$A$3:$S$20,18,FALSE)</f>
        <v>85.580683588277196</v>
      </c>
      <c r="D5" s="152">
        <f>+VLOOKUP(A5,'Summary Table'!$A$3:$S$20,13,FALSE)+VLOOKUP(A5,'Summary Table'!$A$3:$S$20,15,FALSE)</f>
        <v>33.396308738586455</v>
      </c>
      <c r="E5" s="152">
        <f>+VLOOKUP(A5,'Summary Table'!$A$3:$S$20,14,FALSE)+VLOOKUP(A5,'Summary Table'!$A$3:$S$20,16,FALSE)</f>
        <v>32.701941080695555</v>
      </c>
      <c r="G5" s="186">
        <f>-PMT('Annual Summaries'!$A$1,22,NPV('Annual Summaries'!$A$1,I5:AD5))</f>
        <v>40.046515294963612</v>
      </c>
      <c r="H5" s="186">
        <v>43.899526817325352</v>
      </c>
      <c r="I5" s="186">
        <v>34.720762904256077</v>
      </c>
      <c r="J5" s="186">
        <v>26.873499801522655</v>
      </c>
      <c r="K5" s="186">
        <v>36.020445416747719</v>
      </c>
      <c r="L5" s="186">
        <v>24.856693376346072</v>
      </c>
      <c r="M5" s="186">
        <v>39.441859156761723</v>
      </c>
      <c r="N5" s="186">
        <v>37.46666153190327</v>
      </c>
      <c r="O5" s="186">
        <v>38.484931151734401</v>
      </c>
      <c r="P5" s="186">
        <v>36.651923789775566</v>
      </c>
      <c r="Q5" s="186">
        <v>30.505596034374463</v>
      </c>
      <c r="R5" s="186">
        <v>29.132184133794055</v>
      </c>
      <c r="S5" s="186">
        <v>35.50116800749035</v>
      </c>
      <c r="T5" s="186">
        <v>36.078012955072012</v>
      </c>
      <c r="U5" s="186">
        <v>39.647400097740359</v>
      </c>
      <c r="V5" s="186">
        <v>41.147163446607777</v>
      </c>
      <c r="W5" s="186">
        <v>55.126064071080862</v>
      </c>
      <c r="X5" s="186">
        <v>48.836765773588525</v>
      </c>
      <c r="Y5" s="186">
        <v>59.52874549724163</v>
      </c>
      <c r="Z5" s="186">
        <v>45.21600223446066</v>
      </c>
      <c r="AA5" s="186">
        <v>63.016747287755209</v>
      </c>
      <c r="AB5" s="186">
        <v>66.897589517038028</v>
      </c>
      <c r="AC5" s="186">
        <v>83.325631275840209</v>
      </c>
      <c r="AD5" s="186">
        <v>74.669208637663331</v>
      </c>
    </row>
    <row r="6" spans="1:30" x14ac:dyDescent="0.2">
      <c r="A6" s="127" t="str">
        <f>'Scenario List'!A5</f>
        <v>3- Baseline Portfolio</v>
      </c>
      <c r="B6" s="156">
        <f>-PMT('Annual Summaries'!$A$1,23,VLOOKUP(A6,'Summary Table'!$A$3:$S$20,4,FALSE))</f>
        <v>1262.9674564716888</v>
      </c>
      <c r="C6" s="152">
        <f>+VLOOKUP(A6,'Summary Table'!$A$3:$S$20,17,FALSE)+VLOOKUP(A6,'Summary Table'!$A$3:$S$20,18,FALSE)</f>
        <v>96.400182921488579</v>
      </c>
      <c r="D6" s="152">
        <f>+VLOOKUP(A6,'Summary Table'!$A$3:$S$20,13,FALSE)+VLOOKUP(A6,'Summary Table'!$A$3:$S$20,15,FALSE)</f>
        <v>42.021483528907311</v>
      </c>
      <c r="E6" s="152">
        <f>+VLOOKUP(A6,'Summary Table'!$A$3:$S$20,14,FALSE)+VLOOKUP(A6,'Summary Table'!$A$3:$S$20,16,FALSE)</f>
        <v>29.984415571270759</v>
      </c>
      <c r="G6" s="186">
        <f>-PMT('Annual Summaries'!$A$1,22,NPV('Annual Summaries'!$A$1,I6:AD6))</f>
        <v>42.243066861622438</v>
      </c>
      <c r="H6" s="186">
        <v>43.903084077958283</v>
      </c>
      <c r="I6" s="186">
        <v>34.721730539872226</v>
      </c>
      <c r="J6" s="186">
        <v>26.886409609324261</v>
      </c>
      <c r="K6" s="186">
        <v>36.027533236803265</v>
      </c>
      <c r="L6" s="186">
        <v>24.868646287604889</v>
      </c>
      <c r="M6" s="186">
        <v>39.468081153379387</v>
      </c>
      <c r="N6" s="186">
        <v>37.507155768863214</v>
      </c>
      <c r="O6" s="186">
        <v>38.527013212825977</v>
      </c>
      <c r="P6" s="186">
        <v>36.687556384417888</v>
      </c>
      <c r="Q6" s="186">
        <v>30.5185158264959</v>
      </c>
      <c r="R6" s="186">
        <v>29.190033131813323</v>
      </c>
      <c r="S6" s="186">
        <v>35.237620428870997</v>
      </c>
      <c r="T6" s="186">
        <v>37.756084526753313</v>
      </c>
      <c r="U6" s="186">
        <v>39.741166701375363</v>
      </c>
      <c r="V6" s="186">
        <v>40.652794523141409</v>
      </c>
      <c r="W6" s="186">
        <v>56.775039691425036</v>
      </c>
      <c r="X6" s="186">
        <v>52.443959496126183</v>
      </c>
      <c r="Y6" s="186">
        <v>59.657380542736831</v>
      </c>
      <c r="Z6" s="186">
        <v>49.416441445124832</v>
      </c>
      <c r="AA6" s="186">
        <v>80.606280004109607</v>
      </c>
      <c r="AB6" s="186">
        <v>94.772796662910423</v>
      </c>
      <c r="AC6" s="186">
        <v>93.151658036723632</v>
      </c>
      <c r="AD6" s="186">
        <v>96.685935751255187</v>
      </c>
    </row>
    <row r="7" spans="1:30" x14ac:dyDescent="0.2">
      <c r="A7" s="127" t="str">
        <f>'Scenario List'!A6</f>
        <v>4- No Resource Additions</v>
      </c>
      <c r="B7" s="156">
        <f>-PMT('Annual Summaries'!$A$1,23,VLOOKUP(A7,'Summary Table'!$A$3:$S$20,4,FALSE))</f>
        <v>1248.2320946297389</v>
      </c>
      <c r="C7" s="152">
        <f>+VLOOKUP(A7,'Summary Table'!$A$3:$S$20,17,FALSE)+VLOOKUP(A7,'Summary Table'!$A$3:$S$20,18,FALSE)</f>
        <v>137.1885254676742</v>
      </c>
      <c r="D7" s="152">
        <f>+VLOOKUP(A7,'Summary Table'!$A$3:$S$20,13,FALSE)+VLOOKUP(A7,'Summary Table'!$A$3:$S$20,15,FALSE)</f>
        <v>61.732692169408082</v>
      </c>
      <c r="E7" s="152">
        <f>+VLOOKUP(A7,'Summary Table'!$A$3:$S$20,14,FALSE)+VLOOKUP(A7,'Summary Table'!$A$3:$S$20,16,FALSE)</f>
        <v>34.89014795774731</v>
      </c>
      <c r="G7" s="186">
        <f>-PMT('Annual Summaries'!$A$1,22,NPV('Annual Summaries'!$A$1,I7:AD7))</f>
        <v>53.145396465321149</v>
      </c>
      <c r="H7" s="186">
        <v>43.903084077962859</v>
      </c>
      <c r="I7" s="186">
        <v>34.721730539873192</v>
      </c>
      <c r="J7" s="186">
        <v>26.886409609337363</v>
      </c>
      <c r="K7" s="186">
        <v>36.027533236809973</v>
      </c>
      <c r="L7" s="186">
        <v>24.86864628761515</v>
      </c>
      <c r="M7" s="186">
        <v>39.468081153400334</v>
      </c>
      <c r="N7" s="186">
        <v>37.507155768892318</v>
      </c>
      <c r="O7" s="186">
        <v>46.730292619355907</v>
      </c>
      <c r="P7" s="186">
        <v>39.452106173497157</v>
      </c>
      <c r="Q7" s="186">
        <v>48.638905534212199</v>
      </c>
      <c r="R7" s="186">
        <v>44.456904755139078</v>
      </c>
      <c r="S7" s="186">
        <v>51.392907595114167</v>
      </c>
      <c r="T7" s="186">
        <v>56.216092372146818</v>
      </c>
      <c r="U7" s="186">
        <v>53.906581988021856</v>
      </c>
      <c r="V7" s="186">
        <v>58.403855312201813</v>
      </c>
      <c r="W7" s="186">
        <v>70.374347627977158</v>
      </c>
      <c r="X7" s="186">
        <v>65.710216149957432</v>
      </c>
      <c r="Y7" s="186">
        <v>82.774280961645729</v>
      </c>
      <c r="Z7" s="186">
        <v>77.898795869117293</v>
      </c>
      <c r="AA7" s="186">
        <v>118.99971407607808</v>
      </c>
      <c r="AB7" s="186">
        <v>117.0887630810596</v>
      </c>
      <c r="AC7" s="186">
        <v>148.79494821249688</v>
      </c>
      <c r="AD7" s="186">
        <v>137.18852546767408</v>
      </c>
    </row>
    <row r="8" spans="1:30" x14ac:dyDescent="0.2">
      <c r="A8" s="127" t="str">
        <f>'Scenario List'!A7</f>
        <v>5- No CETA/ No new NG</v>
      </c>
      <c r="B8" s="156">
        <f>-PMT('Annual Summaries'!$A$1,23,VLOOKUP(A8,'Summary Table'!$A$3:$S$20,4,FALSE))</f>
        <v>1273.7995713694413</v>
      </c>
      <c r="C8" s="152">
        <f>+VLOOKUP(A8,'Summary Table'!$A$3:$S$20,17,FALSE)+VLOOKUP(A8,'Summary Table'!$A$3:$S$20,18,FALSE)</f>
        <v>106.67916815458419</v>
      </c>
      <c r="D8" s="152">
        <f>+VLOOKUP(A8,'Summary Table'!$A$3:$S$20,13,FALSE)+VLOOKUP(A8,'Summary Table'!$A$3:$S$20,15,FALSE)</f>
        <v>46.763230319291864</v>
      </c>
      <c r="E8" s="152">
        <f>+VLOOKUP(A8,'Summary Table'!$A$3:$S$20,14,FALSE)+VLOOKUP(A8,'Summary Table'!$A$3:$S$20,16,FALSE)</f>
        <v>31.20415235243707</v>
      </c>
      <c r="G8" s="186">
        <f>-PMT('Annual Summaries'!$A$1,22,NPV('Annual Summaries'!$A$1,I8:AD8))</f>
        <v>41.699473525788676</v>
      </c>
      <c r="H8" s="186">
        <v>43.903084077958283</v>
      </c>
      <c r="I8" s="186">
        <v>34.721730539872226</v>
      </c>
      <c r="J8" s="186">
        <v>26.886409609324261</v>
      </c>
      <c r="K8" s="186">
        <v>36.027533236803265</v>
      </c>
      <c r="L8" s="186">
        <v>24.868646287604889</v>
      </c>
      <c r="M8" s="186">
        <v>39.468081153379387</v>
      </c>
      <c r="N8" s="186">
        <v>37.507155768863214</v>
      </c>
      <c r="O8" s="186">
        <v>38.527013212825977</v>
      </c>
      <c r="P8" s="186">
        <v>36.687556384417832</v>
      </c>
      <c r="Q8" s="186">
        <v>31.949193662389064</v>
      </c>
      <c r="R8" s="186">
        <v>29.434290205891472</v>
      </c>
      <c r="S8" s="186">
        <v>35.630909816487275</v>
      </c>
      <c r="T8" s="186">
        <v>37.213139371152153</v>
      </c>
      <c r="U8" s="186">
        <v>37.849978672119846</v>
      </c>
      <c r="V8" s="186">
        <v>40.840776968521084</v>
      </c>
      <c r="W8" s="186">
        <v>54.394432455830525</v>
      </c>
      <c r="X8" s="186">
        <v>50.149825965569619</v>
      </c>
      <c r="Y8" s="186">
        <v>58.463439396743638</v>
      </c>
      <c r="Z8" s="186">
        <v>53.732118681676781</v>
      </c>
      <c r="AA8" s="186">
        <v>69.227889938132023</v>
      </c>
      <c r="AB8" s="186">
        <v>73.644522784481921</v>
      </c>
      <c r="AC8" s="186">
        <v>100.20692518713</v>
      </c>
      <c r="AD8" s="186">
        <v>104.42042814436758</v>
      </c>
    </row>
    <row r="9" spans="1:30" x14ac:dyDescent="0.2">
      <c r="A9" s="127" t="str">
        <f>'Scenario List'!A8</f>
        <v>6- WRAP PRM</v>
      </c>
      <c r="B9" s="156">
        <f>-PMT('Annual Summaries'!$A$1,23,VLOOKUP(A9,'Summary Table'!$A$3:$S$20,4,FALSE))</f>
        <v>1275.110415553748</v>
      </c>
      <c r="C9" s="152">
        <f>+VLOOKUP(A9,'Summary Table'!$A$3:$S$20,17,FALSE)+VLOOKUP(A9,'Summary Table'!$A$3:$S$20,18,FALSE)</f>
        <v>83.755765991045422</v>
      </c>
      <c r="D9" s="152">
        <f>+VLOOKUP(A9,'Summary Table'!$A$3:$S$20,13,FALSE)+VLOOKUP(A9,'Summary Table'!$A$3:$S$20,15,FALSE)</f>
        <v>35.843565010451861</v>
      </c>
      <c r="E9" s="152">
        <f>+VLOOKUP(A9,'Summary Table'!$A$3:$S$20,14,FALSE)+VLOOKUP(A9,'Summary Table'!$A$3:$S$20,16,FALSE)</f>
        <v>33.125780485844579</v>
      </c>
      <c r="G9" s="186">
        <f>-PMT('Annual Summaries'!$A$1,22,NPV('Annual Summaries'!$A$1,I9:AD9))</f>
        <v>39.414125144430557</v>
      </c>
      <c r="H9" s="186">
        <v>43.900806390518113</v>
      </c>
      <c r="I9" s="186">
        <v>34.719834958402998</v>
      </c>
      <c r="J9" s="186">
        <v>26.845587775457517</v>
      </c>
      <c r="K9" s="186">
        <v>36.013084535484552</v>
      </c>
      <c r="L9" s="186">
        <v>24.839609713603977</v>
      </c>
      <c r="M9" s="186">
        <v>39.408581026575945</v>
      </c>
      <c r="N9" s="186">
        <v>37.388011208352481</v>
      </c>
      <c r="O9" s="186">
        <v>38.426623910909711</v>
      </c>
      <c r="P9" s="186">
        <v>36.601333229988171</v>
      </c>
      <c r="Q9" s="186">
        <v>30.482338972723795</v>
      </c>
      <c r="R9" s="186">
        <v>29.08542721545939</v>
      </c>
      <c r="S9" s="186">
        <v>35.150269334623118</v>
      </c>
      <c r="T9" s="186">
        <v>35.958144730415711</v>
      </c>
      <c r="U9" s="186">
        <v>39.014593377547811</v>
      </c>
      <c r="V9" s="186">
        <v>40.944381320072409</v>
      </c>
      <c r="W9" s="186">
        <v>54.542270190815429</v>
      </c>
      <c r="X9" s="186">
        <v>48.893960526609078</v>
      </c>
      <c r="Y9" s="186">
        <v>57.877687249906273</v>
      </c>
      <c r="Z9" s="186">
        <v>46.484833848745808</v>
      </c>
      <c r="AA9" s="186">
        <v>62.250258796508433</v>
      </c>
      <c r="AB9" s="186">
        <v>67.063371697878665</v>
      </c>
      <c r="AC9" s="186">
        <v>72.178940596497142</v>
      </c>
      <c r="AD9" s="186">
        <v>62.841573588628449</v>
      </c>
    </row>
    <row r="10" spans="1:30" x14ac:dyDescent="0.2">
      <c r="A10" s="127" t="str">
        <f>'Scenario List'!A9</f>
        <v>7- WRAP PRM No QCC Changes</v>
      </c>
      <c r="B10" s="156">
        <f>-PMT('Annual Summaries'!$A$1,23,VLOOKUP(A10,'Summary Table'!$A$3:$S$20,4,FALSE))</f>
        <v>1266.1292021208994</v>
      </c>
      <c r="C10" s="152">
        <f>+VLOOKUP(A10,'Summary Table'!$A$3:$S$20,17,FALSE)+VLOOKUP(A10,'Summary Table'!$A$3:$S$20,18,FALSE)</f>
        <v>76.812634835324388</v>
      </c>
      <c r="D10" s="152">
        <f>+VLOOKUP(A10,'Summary Table'!$A$3:$S$20,13,FALSE)+VLOOKUP(A10,'Summary Table'!$A$3:$S$20,15,FALSE)</f>
        <v>32.842560288545663</v>
      </c>
      <c r="E10" s="152">
        <f>+VLOOKUP(A10,'Summary Table'!$A$3:$S$20,14,FALSE)+VLOOKUP(A10,'Summary Table'!$A$3:$S$20,16,FALSE)</f>
        <v>32.91777191896027</v>
      </c>
      <c r="G10" s="186">
        <f>-PMT('Annual Summaries'!$A$1,22,NPV('Annual Summaries'!$A$1,I10:AD10))</f>
        <v>38.661651673421105</v>
      </c>
      <c r="H10" s="186">
        <v>43.89955841283944</v>
      </c>
      <c r="I10" s="186">
        <v>34.719449506377885</v>
      </c>
      <c r="J10" s="186">
        <v>26.839406974839164</v>
      </c>
      <c r="K10" s="186">
        <v>36.008970813931796</v>
      </c>
      <c r="L10" s="186">
        <v>24.830972543643298</v>
      </c>
      <c r="M10" s="186">
        <v>39.386153669030989</v>
      </c>
      <c r="N10" s="186">
        <v>37.347796319896617</v>
      </c>
      <c r="O10" s="186">
        <v>38.384387519510284</v>
      </c>
      <c r="P10" s="186">
        <v>36.544527939845665</v>
      </c>
      <c r="Q10" s="186">
        <v>30.391444260305207</v>
      </c>
      <c r="R10" s="186">
        <v>29.036943203285148</v>
      </c>
      <c r="S10" s="186">
        <v>34.335625668582878</v>
      </c>
      <c r="T10" s="186">
        <v>36.718315237425315</v>
      </c>
      <c r="U10" s="186">
        <v>37.224008458210278</v>
      </c>
      <c r="V10" s="186">
        <v>40.545985305437256</v>
      </c>
      <c r="W10" s="186">
        <v>53.041288672282406</v>
      </c>
      <c r="X10" s="186">
        <v>48.201075315072643</v>
      </c>
      <c r="Y10" s="186">
        <v>57.037450018818134</v>
      </c>
      <c r="Z10" s="186">
        <v>42.517755300070149</v>
      </c>
      <c r="AA10" s="186">
        <v>56.859390006557163</v>
      </c>
      <c r="AB10" s="186">
        <v>63.791336883082749</v>
      </c>
      <c r="AC10" s="186">
        <v>66.588214021319772</v>
      </c>
      <c r="AD10" s="186">
        <v>58.708202868592764</v>
      </c>
    </row>
    <row r="11" spans="1:30" x14ac:dyDescent="0.2">
      <c r="A11" s="127" t="str">
        <f>'Scenario List'!A10</f>
        <v>8- VERs Assigned to Washington</v>
      </c>
      <c r="B11" s="156">
        <f>-PMT('Annual Summaries'!$A$1,23,VLOOKUP(A11,'Summary Table'!$A$3:$S$20,4,FALSE))</f>
        <v>1277.597890944548</v>
      </c>
      <c r="C11" s="152">
        <f>+VLOOKUP(A11,'Summary Table'!$A$3:$S$20,17,FALSE)+VLOOKUP(A11,'Summary Table'!$A$3:$S$20,18,FALSE)</f>
        <v>84.590767146504902</v>
      </c>
      <c r="D11" s="152">
        <f>+VLOOKUP(A11,'Summary Table'!$A$3:$S$20,13,FALSE)+VLOOKUP(A11,'Summary Table'!$A$3:$S$20,15,FALSE)</f>
        <v>33.605243287317379</v>
      </c>
      <c r="E11" s="152">
        <f>+VLOOKUP(A11,'Summary Table'!$A$3:$S$20,14,FALSE)+VLOOKUP(A11,'Summary Table'!$A$3:$S$20,16,FALSE)</f>
        <v>32.824625742621997</v>
      </c>
      <c r="G11" s="186">
        <f>-PMT('Annual Summaries'!$A$1,22,NPV('Annual Summaries'!$A$1,I11:AD11))</f>
        <v>39.524619616277349</v>
      </c>
      <c r="H11" s="186">
        <v>43.89984172134038</v>
      </c>
      <c r="I11" s="186">
        <v>34.719557174516353</v>
      </c>
      <c r="J11" s="186">
        <v>26.841300777594654</v>
      </c>
      <c r="K11" s="186">
        <v>34.531375391480708</v>
      </c>
      <c r="L11" s="186">
        <v>24.689827538850039</v>
      </c>
      <c r="M11" s="186">
        <v>38.119380938714841</v>
      </c>
      <c r="N11" s="186">
        <v>35.5909146701824</v>
      </c>
      <c r="O11" s="186">
        <v>37.829707420936586</v>
      </c>
      <c r="P11" s="186">
        <v>33.445320207577311</v>
      </c>
      <c r="Q11" s="186">
        <v>30.561453267899907</v>
      </c>
      <c r="R11" s="186">
        <v>29.750742578756189</v>
      </c>
      <c r="S11" s="186">
        <v>34.800177475221574</v>
      </c>
      <c r="T11" s="186">
        <v>36.892065681485064</v>
      </c>
      <c r="U11" s="186">
        <v>39.800918641210103</v>
      </c>
      <c r="V11" s="186">
        <v>39.329108395760869</v>
      </c>
      <c r="W11" s="186">
        <v>55.288661686031134</v>
      </c>
      <c r="X11" s="186">
        <v>49.519061652572589</v>
      </c>
      <c r="Y11" s="186">
        <v>57.487836693035973</v>
      </c>
      <c r="Z11" s="186">
        <v>45.389016128973822</v>
      </c>
      <c r="AA11" s="186">
        <v>64.158485735552432</v>
      </c>
      <c r="AB11" s="186">
        <v>74.027650067334832</v>
      </c>
      <c r="AC11" s="186">
        <v>80.583352909364066</v>
      </c>
      <c r="AD11" s="186">
        <v>70.550112853174852</v>
      </c>
    </row>
    <row r="12" spans="1:30" x14ac:dyDescent="0.2">
      <c r="A12" s="127" t="str">
        <f>'Scenario List'!A11</f>
        <v>9- Low Economic Growth Loads</v>
      </c>
      <c r="B12" s="156">
        <f>-PMT('Annual Summaries'!$A$1,23,VLOOKUP(A12,'Summary Table'!$A$3:$S$20,4,FALSE))</f>
        <v>1259.8734767880076</v>
      </c>
      <c r="C12" s="152">
        <f>+VLOOKUP(A12,'Summary Table'!$A$3:$S$20,17,FALSE)+VLOOKUP(A12,'Summary Table'!$A$3:$S$20,18,FALSE)</f>
        <v>74.341749494979283</v>
      </c>
      <c r="D12" s="152">
        <f>+VLOOKUP(A12,'Summary Table'!$A$3:$S$20,13,FALSE)+VLOOKUP(A12,'Summary Table'!$A$3:$S$20,15,FALSE)</f>
        <v>33.899440434592705</v>
      </c>
      <c r="E12" s="152">
        <f>+VLOOKUP(A12,'Summary Table'!$A$3:$S$20,14,FALSE)+VLOOKUP(A12,'Summary Table'!$A$3:$S$20,16,FALSE)</f>
        <v>27.769789846762006</v>
      </c>
      <c r="G12" s="186">
        <f>-PMT('Annual Summaries'!$A$1,22,NPV('Annual Summaries'!$A$1,I12:AD12))</f>
        <v>36.511444483763221</v>
      </c>
      <c r="H12" s="186">
        <v>43.903084077962859</v>
      </c>
      <c r="I12" s="186">
        <v>34.720453804515245</v>
      </c>
      <c r="J12" s="186">
        <v>26.853639816593187</v>
      </c>
      <c r="K12" s="186">
        <v>36.017479931668902</v>
      </c>
      <c r="L12" s="186">
        <v>24.369262184261146</v>
      </c>
      <c r="M12" s="186">
        <v>38.154678701306722</v>
      </c>
      <c r="N12" s="186">
        <v>35.351115629670744</v>
      </c>
      <c r="O12" s="186">
        <v>35.633498225104205</v>
      </c>
      <c r="P12" s="186">
        <v>33.89162406245535</v>
      </c>
      <c r="Q12" s="186">
        <v>29.634218368311082</v>
      </c>
      <c r="R12" s="186">
        <v>27.292990716193344</v>
      </c>
      <c r="S12" s="186">
        <v>32.522560069109005</v>
      </c>
      <c r="T12" s="186">
        <v>33.328719593928867</v>
      </c>
      <c r="U12" s="186">
        <v>34.301272885797005</v>
      </c>
      <c r="V12" s="186">
        <v>37.007359518618728</v>
      </c>
      <c r="W12" s="186">
        <v>45.730661858443057</v>
      </c>
      <c r="X12" s="186">
        <v>44.463658832524629</v>
      </c>
      <c r="Y12" s="186">
        <v>52.001034304935501</v>
      </c>
      <c r="Z12" s="186">
        <v>38.515483362960737</v>
      </c>
      <c r="AA12" s="186">
        <v>53.31162643784134</v>
      </c>
      <c r="AB12" s="186">
        <v>58.589500933566654</v>
      </c>
      <c r="AC12" s="186">
        <v>62.135766011212752</v>
      </c>
      <c r="AD12" s="186">
        <v>53.647990790768546</v>
      </c>
    </row>
    <row r="13" spans="1:30" x14ac:dyDescent="0.2">
      <c r="A13" s="127" t="str">
        <f>'Scenario List'!A12</f>
        <v>10- High Economic Growth Loads</v>
      </c>
      <c r="B13" s="156">
        <f>-PMT('Annual Summaries'!$A$1,23,VLOOKUP(A13,'Summary Table'!$A$3:$S$20,4,FALSE))</f>
        <v>1288.0826868211741</v>
      </c>
      <c r="C13" s="152">
        <f>+VLOOKUP(A13,'Summary Table'!$A$3:$S$20,17,FALSE)+VLOOKUP(A13,'Summary Table'!$A$3:$S$20,18,FALSE)</f>
        <v>88.132633105220407</v>
      </c>
      <c r="D13" s="152">
        <f>+VLOOKUP(A13,'Summary Table'!$A$3:$S$20,13,FALSE)+VLOOKUP(A13,'Summary Table'!$A$3:$S$20,15,FALSE)</f>
        <v>34.099423292866817</v>
      </c>
      <c r="E13" s="152">
        <f>+VLOOKUP(A13,'Summary Table'!$A$3:$S$20,14,FALSE)+VLOOKUP(A13,'Summary Table'!$A$3:$S$20,16,FALSE)</f>
        <v>36.627097131360756</v>
      </c>
      <c r="G13" s="186">
        <f>-PMT('Annual Summaries'!$A$1,22,NPV('Annual Summaries'!$A$1,I13:AD13))</f>
        <v>42.055532063525561</v>
      </c>
      <c r="H13" s="186">
        <v>43.903084077962859</v>
      </c>
      <c r="I13" s="186">
        <v>34.720453798042399</v>
      </c>
      <c r="J13" s="186">
        <v>26.853639734887764</v>
      </c>
      <c r="K13" s="186">
        <v>36.017479915266762</v>
      </c>
      <c r="L13" s="186">
        <v>24.899348947403837</v>
      </c>
      <c r="M13" s="186">
        <v>39.93857312716554</v>
      </c>
      <c r="N13" s="186">
        <v>38.454434402947896</v>
      </c>
      <c r="O13" s="186">
        <v>39.688325598242415</v>
      </c>
      <c r="P13" s="186">
        <v>38.000556170121996</v>
      </c>
      <c r="Q13" s="186">
        <v>31.087739108454315</v>
      </c>
      <c r="R13" s="186">
        <v>31.893906029967582</v>
      </c>
      <c r="S13" s="186">
        <v>38.818399953217266</v>
      </c>
      <c r="T13" s="186">
        <v>41.072146259838689</v>
      </c>
      <c r="U13" s="186">
        <v>43.266138410530317</v>
      </c>
      <c r="V13" s="186">
        <v>45.662316762843318</v>
      </c>
      <c r="W13" s="186">
        <v>58.113844160060353</v>
      </c>
      <c r="X13" s="186">
        <v>52.96930297353336</v>
      </c>
      <c r="Y13" s="186">
        <v>66.556339281270624</v>
      </c>
      <c r="Z13" s="186">
        <v>49.326267762331014</v>
      </c>
      <c r="AA13" s="186">
        <v>72.768051246359931</v>
      </c>
      <c r="AB13" s="186">
        <v>79.595565625178295</v>
      </c>
      <c r="AC13" s="186">
        <v>80.360413823603096</v>
      </c>
      <c r="AD13" s="186">
        <v>71.104808723685892</v>
      </c>
    </row>
    <row r="14" spans="1:30" x14ac:dyDescent="0.2">
      <c r="A14" s="127" t="str">
        <f>'Scenario List'!A13</f>
        <v>11- High Electric Vehicle Growth</v>
      </c>
      <c r="B14" s="156">
        <f>-PMT('Annual Summaries'!$A$1,23,VLOOKUP(A14,'Summary Table'!$A$3:$S$20,4,FALSE))</f>
        <v>1305.5933741981064</v>
      </c>
      <c r="C14" s="152">
        <f>+VLOOKUP(A14,'Summary Table'!$A$3:$S$20,17,FALSE)+VLOOKUP(A14,'Summary Table'!$A$3:$S$20,18,FALSE)</f>
        <v>89.492196042480344</v>
      </c>
      <c r="D14" s="152">
        <f>+VLOOKUP(A14,'Summary Table'!$A$3:$S$20,13,FALSE)+VLOOKUP(A14,'Summary Table'!$A$3:$S$20,15,FALSE)</f>
        <v>39.163424992184204</v>
      </c>
      <c r="E14" s="152">
        <f>+VLOOKUP(A14,'Summary Table'!$A$3:$S$20,14,FALSE)+VLOOKUP(A14,'Summary Table'!$A$3:$S$20,16,FALSE)</f>
        <v>32.720375802619969</v>
      </c>
      <c r="G14" s="186">
        <f>-PMT('Annual Summaries'!$A$1,22,NPV('Annual Summaries'!$A$1,I14:AD14))</f>
        <v>40.846295500420105</v>
      </c>
      <c r="H14" s="186">
        <v>43.749682569672075</v>
      </c>
      <c r="I14" s="186">
        <v>34.83882030193439</v>
      </c>
      <c r="J14" s="186">
        <v>26.751710703170403</v>
      </c>
      <c r="K14" s="186">
        <v>35.911751813915345</v>
      </c>
      <c r="L14" s="186">
        <v>24.765608754411346</v>
      </c>
      <c r="M14" s="186">
        <v>39.380922110335376</v>
      </c>
      <c r="N14" s="186">
        <v>37.379410016119039</v>
      </c>
      <c r="O14" s="186">
        <v>38.511137553819765</v>
      </c>
      <c r="P14" s="186">
        <v>36.482231883291661</v>
      </c>
      <c r="Q14" s="186">
        <v>30.253986398067013</v>
      </c>
      <c r="R14" s="186">
        <v>28.204759701460574</v>
      </c>
      <c r="S14" s="186">
        <v>34.839177644304783</v>
      </c>
      <c r="T14" s="186">
        <v>35.74923790387345</v>
      </c>
      <c r="U14" s="186">
        <v>40.748824701810037</v>
      </c>
      <c r="V14" s="186">
        <v>43.990125154961731</v>
      </c>
      <c r="W14" s="186">
        <v>58.664012977601658</v>
      </c>
      <c r="X14" s="186">
        <v>52.995692115611121</v>
      </c>
      <c r="Y14" s="186">
        <v>67.048637738026258</v>
      </c>
      <c r="Z14" s="186">
        <v>55.109111027656013</v>
      </c>
      <c r="AA14" s="186">
        <v>72.42645794853027</v>
      </c>
      <c r="AB14" s="186">
        <v>72.260399803946768</v>
      </c>
      <c r="AC14" s="186">
        <v>74.993487814499673</v>
      </c>
      <c r="AD14" s="186">
        <v>67.622210016832156</v>
      </c>
    </row>
    <row r="15" spans="1:30" x14ac:dyDescent="0.2">
      <c r="A15" s="127" t="str">
        <f>'Scenario List'!A14</f>
        <v>12- WA Space/ Water Electrification</v>
      </c>
      <c r="B15" s="156">
        <f>-PMT('Annual Summaries'!$A$1,23,VLOOKUP(A15,'Summary Table'!$A$3:$S$20,4,FALSE))</f>
        <v>1371.2571047009742</v>
      </c>
      <c r="C15" s="152">
        <f>+VLOOKUP(A15,'Summary Table'!$A$3:$S$20,17,FALSE)+VLOOKUP(A15,'Summary Table'!$A$3:$S$20,18,FALSE)</f>
        <v>102.20688051056088</v>
      </c>
      <c r="D15" s="152">
        <f>+VLOOKUP(A15,'Summary Table'!$A$3:$S$20,13,FALSE)+VLOOKUP(A15,'Summary Table'!$A$3:$S$20,15,FALSE)</f>
        <v>56.894043202918049</v>
      </c>
      <c r="E15" s="152">
        <f>+VLOOKUP(A15,'Summary Table'!$A$3:$S$20,14,FALSE)+VLOOKUP(A15,'Summary Table'!$A$3:$S$20,16,FALSE)</f>
        <v>31.943527761831351</v>
      </c>
      <c r="G15" s="186">
        <f>-PMT('Annual Summaries'!$A$1,22,NPV('Annual Summaries'!$A$1,I15:AD15))</f>
        <v>41.272549278800156</v>
      </c>
      <c r="H15" s="186">
        <v>44.102829230193379</v>
      </c>
      <c r="I15" s="186">
        <v>34.968032550978222</v>
      </c>
      <c r="J15" s="186">
        <v>27.173538270049136</v>
      </c>
      <c r="K15" s="186">
        <v>36.36056912913449</v>
      </c>
      <c r="L15" s="186">
        <v>25.32097485394624</v>
      </c>
      <c r="M15" s="186">
        <v>40.346776376520921</v>
      </c>
      <c r="N15" s="186">
        <v>38.52374059475909</v>
      </c>
      <c r="O15" s="186">
        <v>39.703365034279187</v>
      </c>
      <c r="P15" s="186">
        <v>30.438761899497251</v>
      </c>
      <c r="Q15" s="186">
        <v>29.553677079413205</v>
      </c>
      <c r="R15" s="186">
        <v>26.888896985240905</v>
      </c>
      <c r="S15" s="186">
        <v>35.394122481578393</v>
      </c>
      <c r="T15" s="186">
        <v>38.800729530471614</v>
      </c>
      <c r="U15" s="186">
        <v>40.304262085982685</v>
      </c>
      <c r="V15" s="186">
        <v>44.423094944819212</v>
      </c>
      <c r="W15" s="186">
        <v>64.276487940152919</v>
      </c>
      <c r="X15" s="186">
        <v>59.610658475251938</v>
      </c>
      <c r="Y15" s="186">
        <v>68.123665895170916</v>
      </c>
      <c r="Z15" s="186">
        <v>63.493725391366326</v>
      </c>
      <c r="AA15" s="186">
        <v>65.415969487400275</v>
      </c>
      <c r="AB15" s="186">
        <v>66.478192661879504</v>
      </c>
      <c r="AC15" s="186">
        <v>72.743071416964369</v>
      </c>
      <c r="AD15" s="186">
        <v>72.083875993457355</v>
      </c>
    </row>
    <row r="16" spans="1:30" x14ac:dyDescent="0.2">
      <c r="A16" s="127" t="str">
        <f>'Scenario List'!A15</f>
        <v>13- WA Space/ Water Electrification w/NG Backup</v>
      </c>
      <c r="B16" s="156">
        <f>-PMT('Annual Summaries'!$A$1,23,VLOOKUP(A16,'Summary Table'!$A$3:$S$20,4,FALSE))</f>
        <v>1325.3928429867635</v>
      </c>
      <c r="C16" s="152">
        <f>+VLOOKUP(A16,'Summary Table'!$A$3:$S$20,17,FALSE)+VLOOKUP(A16,'Summary Table'!$A$3:$S$20,18,FALSE)</f>
        <v>90.362654224720927</v>
      </c>
      <c r="D16" s="152">
        <f>+VLOOKUP(A16,'Summary Table'!$A$3:$S$20,13,FALSE)+VLOOKUP(A16,'Summary Table'!$A$3:$S$20,15,FALSE)</f>
        <v>44.0343052483394</v>
      </c>
      <c r="E16" s="152">
        <f>+VLOOKUP(A16,'Summary Table'!$A$3:$S$20,14,FALSE)+VLOOKUP(A16,'Summary Table'!$A$3:$S$20,16,FALSE)</f>
        <v>30.930429645631868</v>
      </c>
      <c r="G16" s="186">
        <f>-PMT('Annual Summaries'!$A$1,22,NPV('Annual Summaries'!$A$1,I16:AD16))</f>
        <v>41.15033151276797</v>
      </c>
      <c r="H16" s="186">
        <v>44.077852057923849</v>
      </c>
      <c r="I16" s="186">
        <v>34.890440485908158</v>
      </c>
      <c r="J16" s="186">
        <v>26.95697240345109</v>
      </c>
      <c r="K16" s="186">
        <v>36.130310438506797</v>
      </c>
      <c r="L16" s="186">
        <v>25.021377326973322</v>
      </c>
      <c r="M16" s="186">
        <v>39.826804594751593</v>
      </c>
      <c r="N16" s="186">
        <v>38.185896662922914</v>
      </c>
      <c r="O16" s="186">
        <v>39.319598588854831</v>
      </c>
      <c r="P16" s="186">
        <v>36.322618361184539</v>
      </c>
      <c r="Q16" s="186">
        <v>30.979051026778279</v>
      </c>
      <c r="R16" s="186">
        <v>27.484705604859244</v>
      </c>
      <c r="S16" s="186">
        <v>37.733772186235257</v>
      </c>
      <c r="T16" s="186">
        <v>39.960346161655082</v>
      </c>
      <c r="U16" s="186">
        <v>40.165284625958009</v>
      </c>
      <c r="V16" s="186">
        <v>46.148850753158882</v>
      </c>
      <c r="W16" s="186">
        <v>61.193106206742897</v>
      </c>
      <c r="X16" s="186">
        <v>56.718526072458587</v>
      </c>
      <c r="Y16" s="186">
        <v>66.863724363050295</v>
      </c>
      <c r="Z16" s="186">
        <v>54.824662868781729</v>
      </c>
      <c r="AA16" s="186">
        <v>69.312456241572221</v>
      </c>
      <c r="AB16" s="186">
        <v>68.196207387059957</v>
      </c>
      <c r="AC16" s="186">
        <v>71.970236665737104</v>
      </c>
      <c r="AD16" s="186">
        <v>60.488125764956351</v>
      </c>
    </row>
    <row r="17" spans="1:30" x14ac:dyDescent="0.2">
      <c r="A17" s="127" t="str">
        <f>'Scenario List'!A16</f>
        <v>14- Combined Electrification</v>
      </c>
      <c r="B17" s="156">
        <f>-PMT('Annual Summaries'!$A$1,23,VLOOKUP(A17,'Summary Table'!$A$3:$S$20,4,FALSE))</f>
        <v>1405.9038405038336</v>
      </c>
      <c r="C17" s="152">
        <f>+VLOOKUP(A17,'Summary Table'!$A$3:$S$20,17,FALSE)+VLOOKUP(A17,'Summary Table'!$A$3:$S$20,18,FALSE)</f>
        <v>123.10163980783383</v>
      </c>
      <c r="D17" s="152">
        <f>+VLOOKUP(A17,'Summary Table'!$A$3:$S$20,13,FALSE)+VLOOKUP(A17,'Summary Table'!$A$3:$S$20,15,FALSE)</f>
        <v>68.900375946326278</v>
      </c>
      <c r="E17" s="152">
        <f>+VLOOKUP(A17,'Summary Table'!$A$3:$S$20,14,FALSE)+VLOOKUP(A17,'Summary Table'!$A$3:$S$20,16,FALSE)</f>
        <v>33.646189269456862</v>
      </c>
      <c r="G17" s="186">
        <f>-PMT('Annual Summaries'!$A$1,22,NPV('Annual Summaries'!$A$1,I17:AD17))</f>
        <v>40.763148446941955</v>
      </c>
      <c r="H17" s="186">
        <v>44.075934481056436</v>
      </c>
      <c r="I17" s="186">
        <v>35.053553338815249</v>
      </c>
      <c r="J17" s="186">
        <v>26.997751970637069</v>
      </c>
      <c r="K17" s="186">
        <v>36.233521226631154</v>
      </c>
      <c r="L17" s="186">
        <v>25.163011764776343</v>
      </c>
      <c r="M17" s="186">
        <v>40.027874309991006</v>
      </c>
      <c r="N17" s="186">
        <v>38.231868820177965</v>
      </c>
      <c r="O17" s="186">
        <v>39.258877732002333</v>
      </c>
      <c r="P17" s="186">
        <v>27.761801572300016</v>
      </c>
      <c r="Q17" s="186">
        <v>26.517497480038429</v>
      </c>
      <c r="R17" s="186">
        <v>26.612847962687624</v>
      </c>
      <c r="S17" s="186">
        <v>33.011149940784009</v>
      </c>
      <c r="T17" s="186">
        <v>36.639944142814102</v>
      </c>
      <c r="U17" s="186">
        <v>38.472151533479007</v>
      </c>
      <c r="V17" s="186">
        <v>40.977980129837391</v>
      </c>
      <c r="W17" s="186">
        <v>55.010472954189282</v>
      </c>
      <c r="X17" s="186">
        <v>63.240296945744461</v>
      </c>
      <c r="Y17" s="186">
        <v>74.609039457803789</v>
      </c>
      <c r="Z17" s="186">
        <v>63.457814964673702</v>
      </c>
      <c r="AA17" s="186">
        <v>68.098198630956588</v>
      </c>
      <c r="AB17" s="186">
        <v>66.649552562223477</v>
      </c>
      <c r="AC17" s="186">
        <v>74.852131210145131</v>
      </c>
      <c r="AD17" s="186">
        <v>78.965291822738834</v>
      </c>
    </row>
    <row r="18" spans="1:30" x14ac:dyDescent="0.2">
      <c r="A18" s="127" t="str">
        <f>'Scenario List'!A17</f>
        <v>15- Clean Portfolio by 2045</v>
      </c>
      <c r="B18" s="156">
        <f>-PMT('Annual Summaries'!$A$1,23,VLOOKUP(A18,'Summary Table'!$A$3:$S$20,4,FALSE))</f>
        <v>1286.5465939712069</v>
      </c>
      <c r="C18" s="152">
        <f>+VLOOKUP(A18,'Summary Table'!$A$3:$S$20,17,FALSE)+VLOOKUP(A18,'Summary Table'!$A$3:$S$20,18,FALSE)</f>
        <v>58.858167279015603</v>
      </c>
      <c r="D18" s="152">
        <f>+VLOOKUP(A18,'Summary Table'!$A$3:$S$20,13,FALSE)+VLOOKUP(A18,'Summary Table'!$A$3:$S$20,15,FALSE)</f>
        <v>32.274390957245345</v>
      </c>
      <c r="E18" s="152">
        <f>+VLOOKUP(A18,'Summary Table'!$A$3:$S$20,14,FALSE)+VLOOKUP(A18,'Summary Table'!$A$3:$S$20,16,FALSE)</f>
        <v>22.019859984556192</v>
      </c>
      <c r="G18" s="186">
        <f>-PMT('Annual Summaries'!$A$1,22,NPV('Annual Summaries'!$A$1,I18:AD18))</f>
        <v>38.837360408383809</v>
      </c>
      <c r="H18" s="186">
        <v>43.891110109928462</v>
      </c>
      <c r="I18" s="186">
        <v>34.717099533296391</v>
      </c>
      <c r="J18" s="186">
        <v>26.807007519860605</v>
      </c>
      <c r="K18" s="186">
        <v>35.990641137013398</v>
      </c>
      <c r="L18" s="186">
        <v>24.798467051875349</v>
      </c>
      <c r="M18" s="186">
        <v>39.313523397048982</v>
      </c>
      <c r="N18" s="186">
        <v>37.234704451805442</v>
      </c>
      <c r="O18" s="186">
        <v>38.274652663264078</v>
      </c>
      <c r="P18" s="186">
        <v>36.410933506039271</v>
      </c>
      <c r="Q18" s="186">
        <v>30.431337923661403</v>
      </c>
      <c r="R18" s="186">
        <v>28.853208968612819</v>
      </c>
      <c r="S18" s="186">
        <v>35.002083710499221</v>
      </c>
      <c r="T18" s="186">
        <v>37.279036965223725</v>
      </c>
      <c r="U18" s="186">
        <v>38.033604295225871</v>
      </c>
      <c r="V18" s="186">
        <v>42.095383361505299</v>
      </c>
      <c r="W18" s="186">
        <v>54.648613934247152</v>
      </c>
      <c r="X18" s="186">
        <v>49.747087814112774</v>
      </c>
      <c r="Y18" s="186">
        <v>61.243314542263818</v>
      </c>
      <c r="Z18" s="186">
        <v>45.964573651067354</v>
      </c>
      <c r="AA18" s="186">
        <v>59.370214103251868</v>
      </c>
      <c r="AB18" s="186">
        <v>58.71453980740614</v>
      </c>
      <c r="AC18" s="186">
        <v>60.217752346897981</v>
      </c>
      <c r="AD18" s="186">
        <v>56.704349392815402</v>
      </c>
    </row>
    <row r="19" spans="1:30" x14ac:dyDescent="0.2">
      <c r="A19" s="127" t="str">
        <f>'Scenario List'!A18</f>
        <v>16- Social Cost Included for Idaho</v>
      </c>
      <c r="B19" s="156">
        <f>-PMT('Annual Summaries'!$A$1,23,VLOOKUP(A19,'Summary Table'!$A$3:$S$20,4,FALSE))</f>
        <v>1277.27963090034</v>
      </c>
      <c r="C19" s="152">
        <f>+VLOOKUP(A19,'Summary Table'!$A$3:$S$20,17,FALSE)+VLOOKUP(A19,'Summary Table'!$A$3:$S$20,18,FALSE)</f>
        <v>76.941924896823139</v>
      </c>
      <c r="D19" s="152">
        <f>+VLOOKUP(A19,'Summary Table'!$A$3:$S$20,13,FALSE)+VLOOKUP(A19,'Summary Table'!$A$3:$S$20,15,FALSE)</f>
        <v>32.919214950172559</v>
      </c>
      <c r="E19" s="152">
        <f>+VLOOKUP(A19,'Summary Table'!$A$3:$S$20,14,FALSE)+VLOOKUP(A19,'Summary Table'!$A$3:$S$20,16,FALSE)</f>
        <v>30.690514668849939</v>
      </c>
      <c r="G19" s="186">
        <f>-PMT('Annual Summaries'!$A$1,22,NPV('Annual Summaries'!$A$1,I19:AD19))</f>
        <v>39.179074309389378</v>
      </c>
      <c r="H19" s="186">
        <v>43.901387472104602</v>
      </c>
      <c r="I19" s="186">
        <v>34.720036323717778</v>
      </c>
      <c r="J19" s="186">
        <v>26.848873993590331</v>
      </c>
      <c r="K19" s="186">
        <v>36.015247135700889</v>
      </c>
      <c r="L19" s="186">
        <v>24.844044750399547</v>
      </c>
      <c r="M19" s="186">
        <v>39.420061104361679</v>
      </c>
      <c r="N19" s="186">
        <v>37.408723627289959</v>
      </c>
      <c r="O19" s="186">
        <v>38.448792728877493</v>
      </c>
      <c r="P19" s="186">
        <v>36.627834229898269</v>
      </c>
      <c r="Q19" s="186">
        <v>29.896192427724117</v>
      </c>
      <c r="R19" s="186">
        <v>27.976761441713933</v>
      </c>
      <c r="S19" s="186">
        <v>34.180557364547127</v>
      </c>
      <c r="T19" s="186">
        <v>35.377469891550476</v>
      </c>
      <c r="U19" s="186">
        <v>36.595063291574093</v>
      </c>
      <c r="V19" s="186">
        <v>39.638914767600767</v>
      </c>
      <c r="W19" s="186">
        <v>52.45243015598902</v>
      </c>
      <c r="X19" s="186">
        <v>49.028739280579288</v>
      </c>
      <c r="Y19" s="186">
        <v>59.258845127443664</v>
      </c>
      <c r="Z19" s="186">
        <v>45.122282703630788</v>
      </c>
      <c r="AA19" s="186">
        <v>63.073145033379234</v>
      </c>
      <c r="AB19" s="186">
        <v>67.273814302808063</v>
      </c>
      <c r="AC19" s="186">
        <v>70.892478574837696</v>
      </c>
      <c r="AD19" s="186">
        <v>67.953586296462248</v>
      </c>
    </row>
    <row r="20" spans="1:30" x14ac:dyDescent="0.2">
      <c r="A20" s="6" t="s">
        <v>251</v>
      </c>
      <c r="B20" s="156">
        <f>-PMT('Annual Summaries'!$A$1,23,VLOOKUP(A20,'Summary Table'!$A$3:$S$20,4,FALSE))</f>
        <v>1306.386088431326</v>
      </c>
      <c r="C20" s="152">
        <f>+VLOOKUP(A20,'Summary Table'!$A$3:$S$20,17,FALSE)+VLOOKUP(A20,'Summary Table'!$A$3:$S$20,18,FALSE)</f>
        <v>88.870847309407424</v>
      </c>
      <c r="D20" s="152">
        <f>+VLOOKUP(A20,'Summary Table'!$A$3:$S$20,13,FALSE)+VLOOKUP(A20,'Summary Table'!$A$3:$S$20,15,FALSE)</f>
        <v>39.273217842558374</v>
      </c>
      <c r="E20" s="152">
        <f>+VLOOKUP(A20,'Summary Table'!$A$3:$S$20,14,FALSE)+VLOOKUP(A20,'Summary Table'!$A$3:$S$20,16,FALSE)</f>
        <v>32.974535429458335</v>
      </c>
      <c r="G20" s="186">
        <f>-PMT('Annual Summaries'!$A$1,22,NPV('Annual Summaries'!$A$1,I20:AD20))</f>
        <v>41.580529928859939</v>
      </c>
      <c r="H20" s="186">
        <v>43.879777201393466</v>
      </c>
      <c r="I20" s="186">
        <v>34.711589921235429</v>
      </c>
      <c r="J20" s="186">
        <v>26.746895391569069</v>
      </c>
      <c r="K20" s="186">
        <v>35.964909134660616</v>
      </c>
      <c r="L20" s="186">
        <v>24.751091646824449</v>
      </c>
      <c r="M20" s="186">
        <v>39.21823533018258</v>
      </c>
      <c r="N20" s="186">
        <v>37.0925180710218</v>
      </c>
      <c r="O20" s="186">
        <v>38.094486260456051</v>
      </c>
      <c r="P20" s="186">
        <v>36.259748612177049</v>
      </c>
      <c r="Q20" s="186">
        <v>35.761901692025987</v>
      </c>
      <c r="R20" s="186">
        <v>36.011636866056563</v>
      </c>
      <c r="S20" s="186">
        <v>40.322466179484479</v>
      </c>
      <c r="T20" s="186">
        <v>45.600753217177385</v>
      </c>
      <c r="U20" s="186">
        <v>44.509548394479566</v>
      </c>
      <c r="V20" s="186">
        <v>45.430794481417905</v>
      </c>
      <c r="W20" s="186">
        <v>59.890215374872383</v>
      </c>
      <c r="X20" s="186">
        <v>52.741772225110708</v>
      </c>
      <c r="Y20" s="186">
        <v>64.52152160619903</v>
      </c>
      <c r="Z20" s="186">
        <v>49.086241458830841</v>
      </c>
      <c r="AA20" s="186">
        <v>65.560628425055882</v>
      </c>
      <c r="AB20" s="186">
        <v>63.720946167759649</v>
      </c>
      <c r="AC20" s="186">
        <v>78.329180660348584</v>
      </c>
      <c r="AD20" s="186">
        <v>61.211970948069265</v>
      </c>
    </row>
    <row r="27" spans="1:30" ht="38.25" x14ac:dyDescent="0.2">
      <c r="A27" s="127" t="s">
        <v>252</v>
      </c>
      <c r="B27" s="127" t="s">
        <v>230</v>
      </c>
      <c r="C27" s="145" t="s">
        <v>253</v>
      </c>
      <c r="D27" s="145" t="s">
        <v>4</v>
      </c>
      <c r="E27" s="127" t="s">
        <v>254</v>
      </c>
      <c r="F27" s="127" t="s">
        <v>255</v>
      </c>
    </row>
    <row r="28" spans="1:30" x14ac:dyDescent="0.2">
      <c r="A28" s="127" t="s">
        <v>204</v>
      </c>
      <c r="B28" s="139">
        <f t="shared" ref="B28:B44" si="0">VLOOKUP(A28,$A$4:$B$20,2,FALSE)</f>
        <v>1259.8734767880076</v>
      </c>
      <c r="C28" s="139">
        <f t="shared" ref="C28:C44" si="1">VLOOKUP(A28,$A$4:$G$20,7,FALSE)</f>
        <v>36.511444483763221</v>
      </c>
      <c r="D28" s="139">
        <f t="shared" ref="D28:D44" si="2">SUM(B28:C28)</f>
        <v>1296.3849212717707</v>
      </c>
      <c r="E28" s="139">
        <f>'Summary Data'!$X$249+'Summary Data'!$Y$249</f>
        <v>9510.2871658332333</v>
      </c>
      <c r="F28" s="187">
        <f>((D28*1000000)/(E28*1000))/10</f>
        <v>13.631396178331798</v>
      </c>
    </row>
    <row r="29" spans="1:30" x14ac:dyDescent="0.2">
      <c r="A29" s="127" t="s">
        <v>219</v>
      </c>
      <c r="B29" s="139">
        <f t="shared" si="0"/>
        <v>1248.2320946297389</v>
      </c>
      <c r="C29" s="139">
        <f t="shared" si="1"/>
        <v>53.145396465321149</v>
      </c>
      <c r="D29" s="139">
        <f t="shared" si="2"/>
        <v>1301.3774910950601</v>
      </c>
      <c r="E29" s="139">
        <f>'Summary Data'!$X$114+'Summary Data'!$Y$114</f>
        <v>9731.5826713127753</v>
      </c>
      <c r="F29" s="187">
        <f t="shared" ref="F29:F44" si="3">((D29*1000000)/(E29*1000))/10</f>
        <v>13.37272194101914</v>
      </c>
    </row>
    <row r="30" spans="1:30" x14ac:dyDescent="0.2">
      <c r="A30" s="127" t="s">
        <v>203</v>
      </c>
      <c r="B30" s="139">
        <f t="shared" si="0"/>
        <v>1266.1292021208994</v>
      </c>
      <c r="C30" s="139">
        <f t="shared" si="1"/>
        <v>38.661651673421105</v>
      </c>
      <c r="D30" s="139">
        <f t="shared" si="2"/>
        <v>1304.7908537943206</v>
      </c>
      <c r="E30" s="139">
        <f>'Summary Data'!$X$195+'Summary Data'!$Y$195</f>
        <v>9725.0444236507301</v>
      </c>
      <c r="F30" s="187">
        <f t="shared" si="3"/>
        <v>13.416811244801584</v>
      </c>
    </row>
    <row r="31" spans="1:30" ht="12.75" customHeight="1" x14ac:dyDescent="0.2">
      <c r="A31" s="6" t="s">
        <v>248</v>
      </c>
      <c r="B31" s="139">
        <f t="shared" si="0"/>
        <v>1262.9674564716888</v>
      </c>
      <c r="C31" s="139">
        <f t="shared" si="1"/>
        <v>42.243066861622438</v>
      </c>
      <c r="D31" s="139">
        <f t="shared" si="2"/>
        <v>1305.2105233333114</v>
      </c>
      <c r="E31" s="139">
        <f>'Summary Data'!$X$84+'Summary Data'!$Y$84</f>
        <v>9731.5826713115366</v>
      </c>
      <c r="F31" s="187">
        <f t="shared" si="3"/>
        <v>13.412109493567161</v>
      </c>
    </row>
    <row r="32" spans="1:30" ht="15" customHeight="1" x14ac:dyDescent="0.2">
      <c r="A32" s="127" t="s">
        <v>88</v>
      </c>
      <c r="B32" s="139">
        <f t="shared" si="0"/>
        <v>1267.0284729650075</v>
      </c>
      <c r="C32" s="139">
        <f t="shared" si="1"/>
        <v>40.046515294963612</v>
      </c>
      <c r="D32" s="139">
        <f t="shared" si="2"/>
        <v>1307.0749882599712</v>
      </c>
      <c r="E32" s="139">
        <f>'Summary Data'!$X$55+'Summary Data'!$Y$55</f>
        <v>9726.5565720857103</v>
      </c>
      <c r="F32" s="187">
        <f t="shared" si="3"/>
        <v>13.438208872512515</v>
      </c>
    </row>
    <row r="33" spans="1:8" x14ac:dyDescent="0.2">
      <c r="A33" s="127" t="s">
        <v>183</v>
      </c>
      <c r="B33" s="139">
        <f t="shared" si="0"/>
        <v>1275.110415553748</v>
      </c>
      <c r="C33" s="139">
        <f t="shared" si="1"/>
        <v>39.414125144430557</v>
      </c>
      <c r="D33" s="139">
        <f t="shared" si="2"/>
        <v>1314.5245406981785</v>
      </c>
      <c r="E33" s="139">
        <f>'Summary Data'!$X$168+'Summary Data'!$Y$168</f>
        <v>9729.0583041369937</v>
      </c>
      <c r="F33" s="187">
        <f t="shared" si="3"/>
        <v>13.511323497148908</v>
      </c>
    </row>
    <row r="34" spans="1:8" x14ac:dyDescent="0.2">
      <c r="A34" s="127" t="s">
        <v>60</v>
      </c>
      <c r="B34" s="139">
        <f t="shared" si="0"/>
        <v>1275.1585479621278</v>
      </c>
      <c r="C34" s="139">
        <f t="shared" si="1"/>
        <v>39.958345841230454</v>
      </c>
      <c r="D34" s="139">
        <f t="shared" si="2"/>
        <v>1315.1168938033584</v>
      </c>
      <c r="E34" s="139">
        <f>'Summary Data'!$X$27+'Summary Data'!$Y$27</f>
        <v>9731.5826713127753</v>
      </c>
      <c r="F34" s="187">
        <f t="shared" si="3"/>
        <v>13.513905581669903</v>
      </c>
    </row>
    <row r="35" spans="1:8" x14ac:dyDescent="0.2">
      <c r="A35" s="6" t="s">
        <v>249</v>
      </c>
      <c r="B35" s="139">
        <f t="shared" si="0"/>
        <v>1273.7995713694413</v>
      </c>
      <c r="C35" s="139">
        <f t="shared" si="1"/>
        <v>41.699473525788676</v>
      </c>
      <c r="D35" s="139">
        <f t="shared" si="2"/>
        <v>1315.4990448952299</v>
      </c>
      <c r="E35" s="139">
        <f>'Summary Data'!$X$141+'Summary Data'!$Y$141</f>
        <v>9731.5826713115366</v>
      </c>
      <c r="F35" s="187">
        <f t="shared" si="3"/>
        <v>13.517832497824719</v>
      </c>
    </row>
    <row r="36" spans="1:8" ht="12.75" customHeight="1" x14ac:dyDescent="0.25">
      <c r="A36" t="s">
        <v>250</v>
      </c>
      <c r="B36" s="139">
        <f t="shared" si="0"/>
        <v>1277.27963090034</v>
      </c>
      <c r="C36" s="139">
        <f t="shared" si="1"/>
        <v>39.179074309389378</v>
      </c>
      <c r="D36" s="139">
        <f t="shared" si="2"/>
        <v>1316.4587052097293</v>
      </c>
      <c r="E36" s="139">
        <f>'Summary Data'!$X$438+'Summary Data'!$Y$438</f>
        <v>9730.9412587860716</v>
      </c>
      <c r="F36" s="187">
        <f t="shared" si="3"/>
        <v>13.52858546978791</v>
      </c>
    </row>
    <row r="37" spans="1:8" x14ac:dyDescent="0.2">
      <c r="A37" s="127" t="s">
        <v>184</v>
      </c>
      <c r="B37" s="139">
        <f t="shared" si="0"/>
        <v>1277.597890944548</v>
      </c>
      <c r="C37" s="139">
        <f t="shared" si="1"/>
        <v>39.524619616277349</v>
      </c>
      <c r="D37" s="139">
        <f t="shared" si="2"/>
        <v>1317.1225105608253</v>
      </c>
      <c r="E37" s="139">
        <f>'Summary Data'!$X$222+'Summary Data'!$Y$222</f>
        <v>9727.8254319997395</v>
      </c>
      <c r="F37" s="187">
        <f t="shared" si="3"/>
        <v>13.539742461127469</v>
      </c>
    </row>
    <row r="38" spans="1:8" x14ac:dyDescent="0.2">
      <c r="A38" s="127" t="s">
        <v>202</v>
      </c>
      <c r="B38" s="139">
        <f t="shared" si="0"/>
        <v>1286.5465939712069</v>
      </c>
      <c r="C38" s="139">
        <f t="shared" si="1"/>
        <v>38.837360408383809</v>
      </c>
      <c r="D38" s="139">
        <f t="shared" si="2"/>
        <v>1325.3839543795907</v>
      </c>
      <c r="E38" s="139">
        <f>'Summary Data'!$X$411+'Summary Data'!$Y$411</f>
        <v>9714.6853377600055</v>
      </c>
      <c r="F38" s="187">
        <f t="shared" si="3"/>
        <v>13.643097108127183</v>
      </c>
    </row>
    <row r="39" spans="1:8" x14ac:dyDescent="0.2">
      <c r="A39" s="127" t="s">
        <v>185</v>
      </c>
      <c r="B39" s="139">
        <f t="shared" si="0"/>
        <v>1288.0826868211741</v>
      </c>
      <c r="C39" s="139">
        <f t="shared" si="1"/>
        <v>42.055532063525561</v>
      </c>
      <c r="D39" s="139">
        <f t="shared" si="2"/>
        <v>1330.1382188846997</v>
      </c>
      <c r="E39" s="139">
        <f>'Summary Data'!$X$276+'Summary Data'!$Y$276</f>
        <v>9911.918188694699</v>
      </c>
      <c r="F39" s="187">
        <f t="shared" si="3"/>
        <v>13.419584318218284</v>
      </c>
    </row>
    <row r="40" spans="1:8" x14ac:dyDescent="0.2">
      <c r="A40" s="127" t="s">
        <v>186</v>
      </c>
      <c r="B40" s="139">
        <f t="shared" si="0"/>
        <v>1305.5933741981064</v>
      </c>
      <c r="C40" s="139">
        <f t="shared" si="1"/>
        <v>40.846295500420105</v>
      </c>
      <c r="D40" s="139">
        <f t="shared" si="2"/>
        <v>1346.4396696985266</v>
      </c>
      <c r="E40" s="139">
        <f>'Summary Data'!$X$303+'Summary Data'!$Y$303</f>
        <v>9970.6526930042255</v>
      </c>
      <c r="F40" s="187">
        <f t="shared" si="3"/>
        <v>13.504027380707361</v>
      </c>
    </row>
    <row r="41" spans="1:8" x14ac:dyDescent="0.2">
      <c r="A41" s="6" t="s">
        <v>251</v>
      </c>
      <c r="B41" s="139">
        <f t="shared" si="0"/>
        <v>1306.386088431326</v>
      </c>
      <c r="C41" s="139">
        <f t="shared" si="1"/>
        <v>41.580529928859939</v>
      </c>
      <c r="D41" s="139">
        <f t="shared" si="2"/>
        <v>1347.966618360186</v>
      </c>
      <c r="E41" s="139">
        <f>'Summary Data'!$X$465+'Summary Data'!$Y$465</f>
        <v>9712.6277751448943</v>
      </c>
      <c r="F41" s="187">
        <f t="shared" si="3"/>
        <v>13.878495599406174</v>
      </c>
    </row>
    <row r="42" spans="1:8" x14ac:dyDescent="0.2">
      <c r="A42" s="127" t="s">
        <v>229</v>
      </c>
      <c r="B42" s="139">
        <f t="shared" si="0"/>
        <v>1325.3928429867635</v>
      </c>
      <c r="C42" s="139">
        <f t="shared" si="1"/>
        <v>41.15033151276797</v>
      </c>
      <c r="D42" s="139">
        <f t="shared" si="2"/>
        <v>1366.5431744995315</v>
      </c>
      <c r="E42" s="139">
        <f>'Summary Data'!$X$357+'Summary Data'!$Y$357</f>
        <v>10057.304650692302</v>
      </c>
      <c r="F42" s="187">
        <f t="shared" si="3"/>
        <v>13.587568657428156</v>
      </c>
    </row>
    <row r="43" spans="1:8" x14ac:dyDescent="0.2">
      <c r="A43" s="127" t="s">
        <v>228</v>
      </c>
      <c r="B43" s="139">
        <f t="shared" si="0"/>
        <v>1371.2571047009742</v>
      </c>
      <c r="C43" s="139">
        <f t="shared" si="1"/>
        <v>41.272549278800156</v>
      </c>
      <c r="D43" s="139">
        <f t="shared" si="2"/>
        <v>1412.5296539797744</v>
      </c>
      <c r="E43" s="139">
        <f>'Summary Data'!$X$330+'Summary Data'!$Y$330</f>
        <v>10201.95203951423</v>
      </c>
      <c r="F43" s="187">
        <f t="shared" si="3"/>
        <v>13.845680204227197</v>
      </c>
    </row>
    <row r="44" spans="1:8" x14ac:dyDescent="0.2">
      <c r="A44" s="127" t="s">
        <v>187</v>
      </c>
      <c r="B44" s="139">
        <f t="shared" si="0"/>
        <v>1405.9038405038336</v>
      </c>
      <c r="C44" s="139">
        <f t="shared" si="1"/>
        <v>40.763148446941955</v>
      </c>
      <c r="D44" s="139">
        <f t="shared" si="2"/>
        <v>1446.6669889507757</v>
      </c>
      <c r="E44" s="139">
        <f>'Summary Data'!$X$384+'Summary Data'!$Y$384</f>
        <v>10350.215741464583</v>
      </c>
      <c r="F44" s="187">
        <f t="shared" si="3"/>
        <v>13.977167482173357</v>
      </c>
    </row>
    <row r="46" spans="1:8" x14ac:dyDescent="0.2">
      <c r="B46" s="127" t="s">
        <v>256</v>
      </c>
      <c r="C46" s="127" t="s">
        <v>257</v>
      </c>
      <c r="D46" s="127" t="s">
        <v>4</v>
      </c>
      <c r="E46" s="127" t="s">
        <v>258</v>
      </c>
      <c r="G46" s="127" t="s">
        <v>259</v>
      </c>
      <c r="H46" s="127" t="s">
        <v>260</v>
      </c>
    </row>
    <row r="47" spans="1:8" x14ac:dyDescent="0.2">
      <c r="A47" s="127" t="s">
        <v>219</v>
      </c>
      <c r="B47" s="139">
        <f>HLOOKUP(A47,'Annual Summaries'!$B$3:$R$28,26,FALSE)+HLOOKUP(A47,'Annual Summaries'!$T$3:$AJ$28,26,FALSE)</f>
        <v>1964.2665700322809</v>
      </c>
      <c r="C47" s="139">
        <f>+VLOOKUP(A4,'Summary Table'!$A$3:$S$20,17,FALSE)+VLOOKUP(A4,'Summary Table'!$A$3:$S$20,18,FALSE)</f>
        <v>82.206242898733052</v>
      </c>
      <c r="D47" s="139">
        <f t="shared" ref="D47:D63" si="4">C47+B47</f>
        <v>2046.472812931014</v>
      </c>
      <c r="E47" s="139">
        <f>'Summary Data'!$X$113+'Summary Data'!$Y$113</f>
        <v>10981.581892496994</v>
      </c>
      <c r="F47" s="187">
        <f t="shared" ref="F47:F63" si="5">((D47*1000000)/(E47*1000))/10</f>
        <v>18.635501086862877</v>
      </c>
      <c r="G47" s="187">
        <f>((B47*1000000)/(E47*1000))/10</f>
        <v>17.886918198682629</v>
      </c>
      <c r="H47" s="187">
        <f>((C47*1000000)/(E47*1000))/10</f>
        <v>0.74858288818024721</v>
      </c>
    </row>
    <row r="48" spans="1:8" x14ac:dyDescent="0.2">
      <c r="A48" s="6" t="s">
        <v>248</v>
      </c>
      <c r="B48" s="139">
        <f>HLOOKUP(A48,'Annual Summaries'!$B$3:$R$28,26,FALSE)+HLOOKUP(A48,'Annual Summaries'!$T$3:$AJ$28,26,FALSE)</f>
        <v>2090.6456005096152</v>
      </c>
      <c r="C48" s="139">
        <f>+VLOOKUP(A5,'Summary Table'!$A$3:$S$20,17,FALSE)+VLOOKUP(A5,'Summary Table'!$A$3:$S$20,18,FALSE)</f>
        <v>85.580683588277196</v>
      </c>
      <c r="D48" s="139">
        <f t="shared" si="4"/>
        <v>2176.2262840978924</v>
      </c>
      <c r="E48" s="139">
        <f>'Summary Data'!$X$83+'Summary Data'!$Y$83</f>
        <v>10981.581892495755</v>
      </c>
      <c r="F48" s="187">
        <f t="shared" si="5"/>
        <v>19.81705646237554</v>
      </c>
      <c r="G48" s="187">
        <f t="shared" ref="G48:G63" si="6">((B48*1000000)/(E48*1000))/10</f>
        <v>19.037745390199696</v>
      </c>
      <c r="H48" s="187">
        <f t="shared" ref="H48:H63" si="7">((C48*1000000)/(E48*1000))/10</f>
        <v>0.77931107217584561</v>
      </c>
    </row>
    <row r="49" spans="1:8" x14ac:dyDescent="0.2">
      <c r="A49" s="127" t="s">
        <v>88</v>
      </c>
      <c r="B49" s="139">
        <f>HLOOKUP(A49,'Annual Summaries'!$B$3:$R$28,26,FALSE)+HLOOKUP(A49,'Annual Summaries'!$T$3:$AJ$28,26,FALSE)</f>
        <v>2199.1399869465076</v>
      </c>
      <c r="C49" s="139">
        <f>+VLOOKUP(A6,'Summary Table'!$A$3:$S$20,17,FALSE)+VLOOKUP(A6,'Summary Table'!$A$3:$S$20,18,FALSE)</f>
        <v>96.400182921488579</v>
      </c>
      <c r="D49" s="139">
        <f t="shared" si="4"/>
        <v>2295.5401698679962</v>
      </c>
      <c r="E49" s="139">
        <f>'Summary Data'!$X$54+'Summary Data'!$Y$54</f>
        <v>10969.286168866554</v>
      </c>
      <c r="F49" s="187">
        <f t="shared" si="5"/>
        <v>20.926978606714499</v>
      </c>
      <c r="G49" s="187">
        <f t="shared" si="6"/>
        <v>20.048159498183118</v>
      </c>
      <c r="H49" s="187">
        <f t="shared" si="7"/>
        <v>0.87881910853137613</v>
      </c>
    </row>
    <row r="50" spans="1:8" x14ac:dyDescent="0.2">
      <c r="A50" s="6" t="s">
        <v>249</v>
      </c>
      <c r="B50" s="139">
        <f>HLOOKUP(A50,'Annual Summaries'!$B$3:$R$28,26,FALSE)+HLOOKUP(A50,'Annual Summaries'!$T$3:$AJ$28,26,FALSE)</f>
        <v>2232.2977012551801</v>
      </c>
      <c r="C50" s="139">
        <f>+VLOOKUP(A7,'Summary Table'!$A$3:$S$20,17,FALSE)+VLOOKUP(A7,'Summary Table'!$A$3:$S$20,18,FALSE)</f>
        <v>137.1885254676742</v>
      </c>
      <c r="D50" s="139">
        <f t="shared" si="4"/>
        <v>2369.4862267228541</v>
      </c>
      <c r="E50" s="139">
        <f>'Summary Data'!$X$140+'Summary Data'!$Y$140</f>
        <v>10981.581892495755</v>
      </c>
      <c r="F50" s="187">
        <f t="shared" si="5"/>
        <v>21.576911686485154</v>
      </c>
      <c r="G50" s="187">
        <f t="shared" si="6"/>
        <v>20.32765154518054</v>
      </c>
      <c r="H50" s="187">
        <f t="shared" si="7"/>
        <v>1.2492601413046125</v>
      </c>
    </row>
    <row r="51" spans="1:8" x14ac:dyDescent="0.2">
      <c r="A51" s="127" t="s">
        <v>185</v>
      </c>
      <c r="B51" s="139">
        <f>HLOOKUP(A51,'Annual Summaries'!$B$3:$R$28,26,FALSE)+HLOOKUP(A51,'Annual Summaries'!$T$3:$AJ$28,26,FALSE)</f>
        <v>2377.0465114274189</v>
      </c>
      <c r="C51" s="139">
        <f>+VLOOKUP(A8,'Summary Table'!$A$3:$S$20,17,FALSE)+VLOOKUP(A8,'Summary Table'!$A$3:$S$20,18,FALSE)</f>
        <v>106.67916815458419</v>
      </c>
      <c r="D51" s="139">
        <f t="shared" si="4"/>
        <v>2483.7256795820031</v>
      </c>
      <c r="E51" s="139">
        <f>'Summary Data'!$X$275+'Summary Data'!$Y$275</f>
        <v>11587.483876363916</v>
      </c>
      <c r="F51" s="187">
        <f t="shared" si="5"/>
        <v>21.434555647134861</v>
      </c>
      <c r="G51" s="187">
        <f t="shared" si="6"/>
        <v>20.513914295717854</v>
      </c>
      <c r="H51" s="187">
        <f t="shared" si="7"/>
        <v>0.92064135141700398</v>
      </c>
    </row>
    <row r="52" spans="1:8" x14ac:dyDescent="0.2">
      <c r="A52" s="127" t="s">
        <v>186</v>
      </c>
      <c r="B52" s="139">
        <f>HLOOKUP(A52,'Annual Summaries'!$B$3:$R$28,26,FALSE)+HLOOKUP(A52,'Annual Summaries'!$T$3:$AJ$28,26,FALSE)</f>
        <v>2604.3865998844722</v>
      </c>
      <c r="C52" s="139">
        <f>+VLOOKUP(A9,'Summary Table'!$A$3:$S$20,17,FALSE)+VLOOKUP(A9,'Summary Table'!$A$3:$S$20,18,FALSE)</f>
        <v>83.755765991045422</v>
      </c>
      <c r="D52" s="139">
        <f t="shared" si="4"/>
        <v>2688.1423658755175</v>
      </c>
      <c r="E52" s="139">
        <f>'Summary Data'!$X$302+'Summary Data'!$Y$302</f>
        <v>12568.12701222617</v>
      </c>
      <c r="F52" s="187">
        <f t="shared" si="5"/>
        <v>21.388567789460712</v>
      </c>
      <c r="G52" s="187">
        <f t="shared" si="6"/>
        <v>20.722153725459226</v>
      </c>
      <c r="H52" s="187">
        <f t="shared" si="7"/>
        <v>0.66641406400148973</v>
      </c>
    </row>
    <row r="53" spans="1:8" x14ac:dyDescent="0.2">
      <c r="A53" s="127" t="s">
        <v>203</v>
      </c>
      <c r="B53" s="139">
        <f>HLOOKUP(A53,'Annual Summaries'!$B$3:$R$28,26,FALSE)+HLOOKUP(A53,'Annual Summaries'!$T$3:$AJ$28,26,FALSE)</f>
        <v>2269.4147051890186</v>
      </c>
      <c r="C53" s="139">
        <f>+VLOOKUP(A10,'Summary Table'!$A$3:$S$20,17,FALSE)+VLOOKUP(A10,'Summary Table'!$A$3:$S$20,18,FALSE)</f>
        <v>76.812634835324388</v>
      </c>
      <c r="D53" s="139">
        <f t="shared" si="4"/>
        <v>2346.227340024343</v>
      </c>
      <c r="E53" s="139">
        <f>'Summary Data'!$X$194+'Summary Data'!$Y$194</f>
        <v>10966.673729268548</v>
      </c>
      <c r="F53" s="187">
        <f t="shared" si="5"/>
        <v>21.394156495807692</v>
      </c>
      <c r="G53" s="187">
        <f t="shared" si="6"/>
        <v>20.693737784249585</v>
      </c>
      <c r="H53" s="187">
        <f t="shared" si="7"/>
        <v>0.70041871155810898</v>
      </c>
    </row>
    <row r="54" spans="1:8" ht="12.75" customHeight="1" x14ac:dyDescent="0.2">
      <c r="A54" s="127" t="s">
        <v>60</v>
      </c>
      <c r="B54" s="139">
        <f>HLOOKUP(A54,'Annual Summaries'!$B$3:$R$28,26,FALSE)+HLOOKUP(A54,'Annual Summaries'!$T$3:$AJ$28,26,FALSE)</f>
        <v>2296.4683355514371</v>
      </c>
      <c r="C54" s="139">
        <f>+VLOOKUP(A11,'Summary Table'!$A$3:$S$20,17,FALSE)+VLOOKUP(A11,'Summary Table'!$A$3:$S$20,18,FALSE)</f>
        <v>84.590767146504902</v>
      </c>
      <c r="D54" s="139">
        <f t="shared" si="4"/>
        <v>2381.0591026979419</v>
      </c>
      <c r="E54" s="139">
        <f>'Summary Data'!$X$26+'Summary Data'!$Y$26</f>
        <v>10981.581892496994</v>
      </c>
      <c r="F54" s="187">
        <f t="shared" si="5"/>
        <v>21.682296102756979</v>
      </c>
      <c r="G54" s="187">
        <f t="shared" si="6"/>
        <v>20.911999364321687</v>
      </c>
      <c r="H54" s="187">
        <f t="shared" si="7"/>
        <v>0.77029673843529156</v>
      </c>
    </row>
    <row r="55" spans="1:8" ht="15" customHeight="1" x14ac:dyDescent="0.2">
      <c r="A55" s="127" t="s">
        <v>184</v>
      </c>
      <c r="B55" s="139">
        <f>HLOOKUP(A55,'Annual Summaries'!$B$3:$R$28,26,FALSE)+HLOOKUP(A55,'Annual Summaries'!$T$3:$AJ$28,26,FALSE)</f>
        <v>2288.5981210268292</v>
      </c>
      <c r="C55" s="139">
        <f>+VLOOKUP(A12,'Summary Table'!$A$3:$S$20,17,FALSE)+VLOOKUP(A12,'Summary Table'!$A$3:$S$20,18,FALSE)</f>
        <v>74.341749494979283</v>
      </c>
      <c r="D55" s="139">
        <f t="shared" si="4"/>
        <v>2362.9398705218086</v>
      </c>
      <c r="E55" s="139">
        <f>'Summary Data'!$X$221+'Summary Data'!$Y$221</f>
        <v>10975.592683581115</v>
      </c>
      <c r="F55" s="187">
        <f t="shared" si="5"/>
        <v>21.529041197534937</v>
      </c>
      <c r="G55" s="187">
        <f t="shared" si="6"/>
        <v>20.851704204096844</v>
      </c>
      <c r="H55" s="187">
        <f t="shared" si="7"/>
        <v>0.67733699343808973</v>
      </c>
    </row>
    <row r="56" spans="1:8" ht="12.75" customHeight="1" x14ac:dyDescent="0.25">
      <c r="A56" t="s">
        <v>250</v>
      </c>
      <c r="B56" s="139">
        <f>HLOOKUP(A56,'Annual Summaries'!$B$3:$R$28,26,FALSE)+HLOOKUP(A56,'Annual Summaries'!$T$3:$AJ$28,26,FALSE)</f>
        <v>2317.6263567583223</v>
      </c>
      <c r="C56" s="139">
        <f>+VLOOKUP(A13,'Summary Table'!$A$3:$S$20,17,FALSE)+VLOOKUP(A13,'Summary Table'!$A$3:$S$20,18,FALSE)</f>
        <v>88.132633105220407</v>
      </c>
      <c r="D56" s="139">
        <f t="shared" si="4"/>
        <v>2405.7589898635429</v>
      </c>
      <c r="E56" s="139">
        <f>'Summary Data'!$X$437+'Summary Data'!$Y$437</f>
        <v>10979.382280157621</v>
      </c>
      <c r="F56" s="187">
        <f t="shared" si="5"/>
        <v>21.911606030981609</v>
      </c>
      <c r="G56" s="187">
        <f t="shared" si="6"/>
        <v>21.108895724915506</v>
      </c>
      <c r="H56" s="187">
        <f t="shared" si="7"/>
        <v>0.80271030606610017</v>
      </c>
    </row>
    <row r="57" spans="1:8" x14ac:dyDescent="0.2">
      <c r="A57" s="127" t="s">
        <v>183</v>
      </c>
      <c r="B57" s="139">
        <f>HLOOKUP(A57,'Annual Summaries'!$B$3:$R$28,26,FALSE)+HLOOKUP(A57,'Annual Summaries'!$T$3:$AJ$28,26,FALSE)</f>
        <v>2353.3503915305955</v>
      </c>
      <c r="C57" s="139">
        <f>+VLOOKUP(A14,'Summary Table'!$A$3:$S$20,17,FALSE)+VLOOKUP(A14,'Summary Table'!$A$3:$S$20,18,FALSE)</f>
        <v>89.492196042480344</v>
      </c>
      <c r="D57" s="139">
        <f t="shared" si="4"/>
        <v>2442.8425875730759</v>
      </c>
      <c r="E57" s="139">
        <f>'Summary Data'!$X$167+'Summary Data'!$Y$167</f>
        <v>10974.470149599549</v>
      </c>
      <c r="F57" s="187">
        <f t="shared" si="5"/>
        <v>22.259321445803135</v>
      </c>
      <c r="G57" s="187">
        <f t="shared" si="6"/>
        <v>21.443863434413437</v>
      </c>
      <c r="H57" s="187">
        <f t="shared" si="7"/>
        <v>0.81545801138969676</v>
      </c>
    </row>
    <row r="58" spans="1:8" x14ac:dyDescent="0.2">
      <c r="A58" s="127" t="s">
        <v>204</v>
      </c>
      <c r="B58" s="139">
        <f>HLOOKUP(A58,'Annual Summaries'!$B$3:$R$28,26,FALSE)+HLOOKUP(A58,'Annual Summaries'!$T$3:$AJ$28,26,FALSE)</f>
        <v>2248.7898590238824</v>
      </c>
      <c r="C58" s="139">
        <f>+VLOOKUP(A15,'Summary Table'!$A$3:$S$20,17,FALSE)+VLOOKUP(A15,'Summary Table'!$A$3:$S$20,18,FALSE)</f>
        <v>102.20688051056088</v>
      </c>
      <c r="D58" s="139">
        <f t="shared" si="4"/>
        <v>2350.9967395344433</v>
      </c>
      <c r="E58" s="139">
        <f>'Summary Data'!$X$248+'Summary Data'!$Y$248</f>
        <v>10331.767902296668</v>
      </c>
      <c r="F58" s="187">
        <f t="shared" si="5"/>
        <v>22.755028585299868</v>
      </c>
      <c r="G58" s="187">
        <f t="shared" si="6"/>
        <v>21.765779877072099</v>
      </c>
      <c r="H58" s="187">
        <f t="shared" si="7"/>
        <v>0.98924870822776734</v>
      </c>
    </row>
    <row r="59" spans="1:8" x14ac:dyDescent="0.2">
      <c r="A59" s="127" t="s">
        <v>229</v>
      </c>
      <c r="B59" s="139">
        <f>HLOOKUP(A59,'Annual Summaries'!$B$3:$R$28,26,FALSE)+HLOOKUP(A59,'Annual Summaries'!$T$3:$AJ$28,26,FALSE)</f>
        <v>2695.0421448539782</v>
      </c>
      <c r="C59" s="139">
        <f>+VLOOKUP(A16,'Summary Table'!$A$3:$S$20,17,FALSE)+VLOOKUP(A16,'Summary Table'!$A$3:$S$20,18,FALSE)</f>
        <v>90.362654224720927</v>
      </c>
      <c r="D59" s="139">
        <f t="shared" si="4"/>
        <v>2785.4047990786994</v>
      </c>
      <c r="E59" s="139">
        <f>'Summary Data'!$X$356+'Summary Data'!$Y$356</f>
        <v>12203.372180029242</v>
      </c>
      <c r="F59" s="187">
        <f t="shared" si="5"/>
        <v>22.8248778943004</v>
      </c>
      <c r="G59" s="187">
        <f t="shared" si="6"/>
        <v>22.084405073414061</v>
      </c>
      <c r="H59" s="187">
        <f t="shared" si="7"/>
        <v>0.74047282088633626</v>
      </c>
    </row>
    <row r="60" spans="1:8" x14ac:dyDescent="0.2">
      <c r="A60" s="127" t="s">
        <v>228</v>
      </c>
      <c r="B60" s="139">
        <f>HLOOKUP(A60,'Annual Summaries'!$B$3:$R$28,26,FALSE)+HLOOKUP(A60,'Annual Summaries'!$T$3:$AJ$28,26,FALSE)</f>
        <v>2945.8803357458473</v>
      </c>
      <c r="C60" s="139">
        <f>+VLOOKUP(A17,'Summary Table'!$A$3:$S$20,17,FALSE)+VLOOKUP(A17,'Summary Table'!$A$3:$S$20,18,FALSE)</f>
        <v>123.10163980783383</v>
      </c>
      <c r="D60" s="139">
        <f t="shared" si="4"/>
        <v>3068.981975553681</v>
      </c>
      <c r="E60" s="139">
        <f>'Summary Data'!$X$329+'Summary Data'!$Y$329</f>
        <v>12661.265527199679</v>
      </c>
      <c r="F60" s="187">
        <f t="shared" si="5"/>
        <v>24.23914077910073</v>
      </c>
      <c r="G60" s="187">
        <f t="shared" si="6"/>
        <v>23.266871146626951</v>
      </c>
      <c r="H60" s="187">
        <f t="shared" si="7"/>
        <v>0.97226963247378073</v>
      </c>
    </row>
    <row r="61" spans="1:8" x14ac:dyDescent="0.2">
      <c r="A61" s="127" t="s">
        <v>202</v>
      </c>
      <c r="B61" s="139">
        <f>HLOOKUP(A61,'Annual Summaries'!$B$3:$R$28,26,FALSE)+HLOOKUP(A61,'Annual Summaries'!$T$3:$AJ$28,26,FALSE)</f>
        <v>2602.4499789449137</v>
      </c>
      <c r="C61" s="139">
        <f>+VLOOKUP(A18,'Summary Table'!$A$3:$S$20,17,FALSE)+VLOOKUP(A18,'Summary Table'!$A$3:$S$20,18,FALSE)</f>
        <v>58.858167279015603</v>
      </c>
      <c r="D61" s="139">
        <f t="shared" si="4"/>
        <v>2661.3081462239293</v>
      </c>
      <c r="E61" s="139">
        <f>'Summary Data'!$X$410+'Summary Data'!$Y$410</f>
        <v>10945.440592002138</v>
      </c>
      <c r="F61" s="187">
        <f t="shared" si="5"/>
        <v>24.314308079736453</v>
      </c>
      <c r="G61" s="187">
        <f t="shared" si="6"/>
        <v>23.776566663260049</v>
      </c>
      <c r="H61" s="187">
        <f t="shared" si="7"/>
        <v>0.53774141647640405</v>
      </c>
    </row>
    <row r="62" spans="1:8" x14ac:dyDescent="0.2">
      <c r="A62" s="127" t="s">
        <v>187</v>
      </c>
      <c r="B62" s="139">
        <f>HLOOKUP(A62,'Annual Summaries'!$B$3:$R$28,26,FALSE)+HLOOKUP(A62,'Annual Summaries'!$T$3:$AJ$28,26,FALSE)</f>
        <v>3347.5129162980884</v>
      </c>
      <c r="C62" s="139">
        <f>+VLOOKUP(A19,'Summary Table'!$A$3:$S$20,17,FALSE)+VLOOKUP(A19,'Summary Table'!$A$3:$S$20,18,FALSE)</f>
        <v>76.941924896823139</v>
      </c>
      <c r="D62" s="139">
        <f t="shared" si="4"/>
        <v>3424.4548411949118</v>
      </c>
      <c r="E62" s="139">
        <f>'Summary Data'!$X$383+'Summary Data'!$Y$383</f>
        <v>13763.093301520201</v>
      </c>
      <c r="F62" s="187">
        <f t="shared" si="5"/>
        <v>24.881433019252036</v>
      </c>
      <c r="G62" s="187">
        <f t="shared" si="6"/>
        <v>24.322387728987781</v>
      </c>
      <c r="H62" s="187">
        <f t="shared" si="7"/>
        <v>0.55904529026424987</v>
      </c>
    </row>
    <row r="63" spans="1:8" x14ac:dyDescent="0.2">
      <c r="A63" s="6" t="s">
        <v>251</v>
      </c>
      <c r="B63" s="139">
        <f>HLOOKUP(A63,'Annual Summaries'!$B$3:$R$28,26,FALSE)+HLOOKUP(A63,'Annual Summaries'!$T$3:$AJ$28,26,FALSE)</f>
        <v>2746.5067261067779</v>
      </c>
      <c r="C63" s="139">
        <f>+VLOOKUP(A20,'Summary Table'!$A$3:$S$20,17,FALSE)+VLOOKUP(A20,'Summary Table'!$A$3:$S$20,18,FALSE)</f>
        <v>88.870847309407424</v>
      </c>
      <c r="D63" s="139">
        <f t="shared" si="4"/>
        <v>2835.3775734161854</v>
      </c>
      <c r="E63" s="139">
        <f>'Summary Data'!$X$464+'Summary Data'!$Y$464</f>
        <v>10945.433518172687</v>
      </c>
      <c r="F63" s="187">
        <f t="shared" si="5"/>
        <v>25.904662147082728</v>
      </c>
      <c r="G63" s="187">
        <f t="shared" si="6"/>
        <v>25.092717630112659</v>
      </c>
      <c r="H63" s="187">
        <f t="shared" si="7"/>
        <v>0.81194451697007053</v>
      </c>
    </row>
  </sheetData>
  <sortState xmlns:xlrd2="http://schemas.microsoft.com/office/spreadsheetml/2017/richdata2" ref="A47:F63">
    <sortCondition ref="F47:F63"/>
  </sortState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FAFD-E635-4BFF-8A70-20E00773A5A4}">
  <dimension ref="A1:CP493"/>
  <sheetViews>
    <sheetView zoomScale="70" zoomScaleNormal="70" workbookViewId="0">
      <pane xSplit="3" ySplit="3" topLeftCell="BP455" activePane="bottomRight" state="frozen"/>
      <selection pane="topRight" activeCell="D1" sqref="D1"/>
      <selection pane="bottomLeft" activeCell="A4" sqref="A4"/>
      <selection pane="bottomRight" activeCell="CI470" sqref="CI470"/>
    </sheetView>
  </sheetViews>
  <sheetFormatPr defaultRowHeight="12.75" x14ac:dyDescent="0.2"/>
  <cols>
    <col min="1" max="1" width="9.140625" style="6"/>
    <col min="2" max="2" width="41.140625" style="6" bestFit="1" customWidth="1"/>
    <col min="3" max="3" width="9.140625" style="6"/>
    <col min="4" max="32" width="9.140625" style="8"/>
    <col min="33" max="34" width="9.140625" style="12"/>
    <col min="35" max="38" width="9.140625" style="8"/>
    <col min="39" max="40" width="9.140625" style="25"/>
    <col min="41" max="94" width="9.140625" style="8"/>
    <col min="95" max="16384" width="9.140625" style="6"/>
  </cols>
  <sheetData>
    <row r="1" spans="1:94" x14ac:dyDescent="0.2">
      <c r="B1" s="1">
        <v>6.5100000000000005E-2</v>
      </c>
      <c r="D1" s="191" t="s">
        <v>233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AA1" s="191" t="s">
        <v>232</v>
      </c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X1" s="191" t="s">
        <v>244</v>
      </c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U1" s="191" t="s">
        <v>245</v>
      </c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</row>
    <row r="2" spans="1:94" x14ac:dyDescent="0.2">
      <c r="B2" s="5" t="s">
        <v>30</v>
      </c>
      <c r="C2" s="157"/>
      <c r="D2" s="192" t="s">
        <v>3</v>
      </c>
      <c r="E2" s="192"/>
      <c r="F2" s="192"/>
      <c r="G2" s="192" t="s">
        <v>20</v>
      </c>
      <c r="H2" s="192"/>
      <c r="I2" s="192"/>
      <c r="J2" s="192" t="s">
        <v>5</v>
      </c>
      <c r="K2" s="192"/>
      <c r="L2" s="192" t="s">
        <v>21</v>
      </c>
      <c r="M2" s="192"/>
      <c r="N2" s="192" t="s">
        <v>22</v>
      </c>
      <c r="O2" s="192"/>
      <c r="P2" s="192" t="s">
        <v>23</v>
      </c>
      <c r="Q2" s="192"/>
      <c r="R2" s="192" t="s">
        <v>24</v>
      </c>
      <c r="S2" s="192"/>
      <c r="T2" s="192" t="s">
        <v>25</v>
      </c>
      <c r="U2" s="192"/>
      <c r="V2" s="192" t="s">
        <v>26</v>
      </c>
      <c r="W2" s="192"/>
      <c r="X2" s="192" t="s">
        <v>27</v>
      </c>
      <c r="Y2" s="192"/>
      <c r="Z2" s="169"/>
      <c r="AA2" s="192" t="s">
        <v>3</v>
      </c>
      <c r="AB2" s="192"/>
      <c r="AC2" s="192"/>
      <c r="AD2" s="192" t="s">
        <v>20</v>
      </c>
      <c r="AE2" s="192"/>
      <c r="AF2" s="192"/>
      <c r="AG2" s="193" t="s">
        <v>5</v>
      </c>
      <c r="AH2" s="193"/>
      <c r="AI2" s="192" t="s">
        <v>21</v>
      </c>
      <c r="AJ2" s="192"/>
      <c r="AK2" s="192" t="s">
        <v>22</v>
      </c>
      <c r="AL2" s="192"/>
      <c r="AM2" s="194" t="s">
        <v>23</v>
      </c>
      <c r="AN2" s="194"/>
      <c r="AO2" s="192" t="s">
        <v>24</v>
      </c>
      <c r="AP2" s="192"/>
      <c r="AQ2" s="192" t="s">
        <v>25</v>
      </c>
      <c r="AR2" s="192"/>
      <c r="AS2" s="192" t="s">
        <v>26</v>
      </c>
      <c r="AT2" s="192"/>
      <c r="AU2" s="192" t="s">
        <v>27</v>
      </c>
      <c r="AV2" s="192"/>
      <c r="AX2" s="192" t="s">
        <v>3</v>
      </c>
      <c r="AY2" s="192"/>
      <c r="AZ2" s="192"/>
      <c r="BA2" s="192" t="s">
        <v>20</v>
      </c>
      <c r="BB2" s="192"/>
      <c r="BC2" s="192"/>
      <c r="BD2" s="192" t="s">
        <v>5</v>
      </c>
      <c r="BE2" s="192"/>
      <c r="BF2" s="192" t="s">
        <v>21</v>
      </c>
      <c r="BG2" s="192"/>
      <c r="BH2" s="192" t="s">
        <v>22</v>
      </c>
      <c r="BI2" s="192"/>
      <c r="BJ2" s="192" t="s">
        <v>23</v>
      </c>
      <c r="BK2" s="192"/>
      <c r="BL2" s="192" t="s">
        <v>24</v>
      </c>
      <c r="BM2" s="192"/>
      <c r="BN2" s="192" t="s">
        <v>25</v>
      </c>
      <c r="BO2" s="192"/>
      <c r="BP2" s="192" t="s">
        <v>26</v>
      </c>
      <c r="BQ2" s="192"/>
      <c r="BR2" s="192" t="s">
        <v>27</v>
      </c>
      <c r="BS2" s="192"/>
      <c r="BU2" s="192" t="s">
        <v>3</v>
      </c>
      <c r="BV2" s="192"/>
      <c r="BW2" s="192"/>
      <c r="BX2" s="192" t="s">
        <v>20</v>
      </c>
      <c r="BY2" s="192"/>
      <c r="BZ2" s="192"/>
      <c r="CA2" s="192" t="s">
        <v>5</v>
      </c>
      <c r="CB2" s="192"/>
      <c r="CC2" s="192" t="s">
        <v>21</v>
      </c>
      <c r="CD2" s="192"/>
      <c r="CE2" s="192" t="s">
        <v>22</v>
      </c>
      <c r="CF2" s="192"/>
      <c r="CG2" s="192" t="s">
        <v>23</v>
      </c>
      <c r="CH2" s="192"/>
      <c r="CI2" s="192" t="s">
        <v>24</v>
      </c>
      <c r="CJ2" s="192"/>
      <c r="CK2" s="192" t="s">
        <v>25</v>
      </c>
      <c r="CL2" s="192"/>
      <c r="CM2" s="192" t="s">
        <v>26</v>
      </c>
      <c r="CN2" s="192"/>
      <c r="CO2" s="192" t="s">
        <v>27</v>
      </c>
      <c r="CP2" s="192"/>
    </row>
    <row r="3" spans="1:94" x14ac:dyDescent="0.2">
      <c r="C3" s="158" t="s">
        <v>0</v>
      </c>
      <c r="D3" s="170" t="s">
        <v>1</v>
      </c>
      <c r="E3" s="170" t="s">
        <v>2</v>
      </c>
      <c r="F3" s="170" t="s">
        <v>4</v>
      </c>
      <c r="G3" s="170" t="s">
        <v>1</v>
      </c>
      <c r="H3" s="170" t="s">
        <v>2</v>
      </c>
      <c r="I3" s="170" t="s">
        <v>4</v>
      </c>
      <c r="J3" s="170" t="s">
        <v>1</v>
      </c>
      <c r="K3" s="170" t="s">
        <v>2</v>
      </c>
      <c r="L3" s="170" t="s">
        <v>1</v>
      </c>
      <c r="M3" s="170" t="s">
        <v>2</v>
      </c>
      <c r="N3" s="170" t="s">
        <v>1</v>
      </c>
      <c r="O3" s="170" t="s">
        <v>2</v>
      </c>
      <c r="P3" s="170" t="s">
        <v>28</v>
      </c>
      <c r="Q3" s="170" t="s">
        <v>29</v>
      </c>
      <c r="R3" s="170" t="s">
        <v>1</v>
      </c>
      <c r="S3" s="170" t="s">
        <v>2</v>
      </c>
      <c r="T3" s="170" t="s">
        <v>1</v>
      </c>
      <c r="U3" s="170" t="s">
        <v>2</v>
      </c>
      <c r="V3" s="170" t="s">
        <v>1</v>
      </c>
      <c r="W3" s="170" t="s">
        <v>2</v>
      </c>
      <c r="X3" s="170" t="s">
        <v>1</v>
      </c>
      <c r="Y3" s="170" t="s">
        <v>2</v>
      </c>
      <c r="Z3" s="170"/>
      <c r="AA3" s="170" t="s">
        <v>1</v>
      </c>
      <c r="AB3" s="170" t="s">
        <v>2</v>
      </c>
      <c r="AC3" s="170" t="s">
        <v>4</v>
      </c>
      <c r="AD3" s="170" t="s">
        <v>1</v>
      </c>
      <c r="AE3" s="170" t="s">
        <v>2</v>
      </c>
      <c r="AF3" s="170" t="s">
        <v>4</v>
      </c>
      <c r="AG3" s="175" t="s">
        <v>1</v>
      </c>
      <c r="AH3" s="175" t="s">
        <v>2</v>
      </c>
      <c r="AI3" s="170" t="s">
        <v>1</v>
      </c>
      <c r="AJ3" s="170" t="s">
        <v>2</v>
      </c>
      <c r="AK3" s="170" t="s">
        <v>1</v>
      </c>
      <c r="AL3" s="170" t="s">
        <v>2</v>
      </c>
      <c r="AM3" s="173" t="s">
        <v>28</v>
      </c>
      <c r="AN3" s="173" t="s">
        <v>29</v>
      </c>
      <c r="AO3" s="170" t="s">
        <v>1</v>
      </c>
      <c r="AP3" s="170" t="s">
        <v>2</v>
      </c>
      <c r="AQ3" s="170" t="s">
        <v>1</v>
      </c>
      <c r="AR3" s="170" t="s">
        <v>2</v>
      </c>
      <c r="AS3" s="170" t="s">
        <v>1</v>
      </c>
      <c r="AT3" s="170" t="s">
        <v>2</v>
      </c>
      <c r="AU3" s="170" t="s">
        <v>1</v>
      </c>
      <c r="AV3" s="170" t="s">
        <v>2</v>
      </c>
      <c r="AX3" s="170" t="s">
        <v>1</v>
      </c>
      <c r="AY3" s="170" t="s">
        <v>2</v>
      </c>
      <c r="AZ3" s="170" t="s">
        <v>4</v>
      </c>
      <c r="BA3" s="170" t="s">
        <v>1</v>
      </c>
      <c r="BB3" s="170" t="s">
        <v>2</v>
      </c>
      <c r="BC3" s="170" t="s">
        <v>4</v>
      </c>
      <c r="BD3" s="170" t="s">
        <v>1</v>
      </c>
      <c r="BE3" s="170" t="s">
        <v>2</v>
      </c>
      <c r="BF3" s="170" t="s">
        <v>1</v>
      </c>
      <c r="BG3" s="170" t="s">
        <v>2</v>
      </c>
      <c r="BH3" s="170" t="s">
        <v>1</v>
      </c>
      <c r="BI3" s="170" t="s">
        <v>2</v>
      </c>
      <c r="BJ3" s="170" t="s">
        <v>28</v>
      </c>
      <c r="BK3" s="170" t="s">
        <v>29</v>
      </c>
      <c r="BL3" s="170" t="s">
        <v>1</v>
      </c>
      <c r="BM3" s="170" t="s">
        <v>2</v>
      </c>
      <c r="BN3" s="170" t="s">
        <v>1</v>
      </c>
      <c r="BO3" s="170" t="s">
        <v>2</v>
      </c>
      <c r="BP3" s="170" t="s">
        <v>1</v>
      </c>
      <c r="BQ3" s="170" t="s">
        <v>2</v>
      </c>
      <c r="BR3" s="170" t="s">
        <v>1</v>
      </c>
      <c r="BS3" s="170" t="s">
        <v>2</v>
      </c>
      <c r="BU3" s="170" t="s">
        <v>1</v>
      </c>
      <c r="BV3" s="170" t="s">
        <v>2</v>
      </c>
      <c r="BW3" s="170" t="s">
        <v>4</v>
      </c>
      <c r="BX3" s="170" t="s">
        <v>1</v>
      </c>
      <c r="BY3" s="170" t="s">
        <v>2</v>
      </c>
      <c r="BZ3" s="170" t="s">
        <v>4</v>
      </c>
      <c r="CA3" s="170" t="s">
        <v>1</v>
      </c>
      <c r="CB3" s="170" t="s">
        <v>2</v>
      </c>
      <c r="CC3" s="170" t="s">
        <v>1</v>
      </c>
      <c r="CD3" s="170" t="s">
        <v>2</v>
      </c>
      <c r="CE3" s="170" t="s">
        <v>1</v>
      </c>
      <c r="CF3" s="170" t="s">
        <v>2</v>
      </c>
      <c r="CG3" s="170" t="s">
        <v>28</v>
      </c>
      <c r="CH3" s="170" t="s">
        <v>29</v>
      </c>
      <c r="CI3" s="170" t="s">
        <v>1</v>
      </c>
      <c r="CJ3" s="170" t="s">
        <v>2</v>
      </c>
      <c r="CK3" s="170" t="s">
        <v>1</v>
      </c>
      <c r="CL3" s="170" t="s">
        <v>2</v>
      </c>
      <c r="CM3" s="170" t="s">
        <v>1</v>
      </c>
      <c r="CN3" s="170" t="s">
        <v>2</v>
      </c>
      <c r="CO3" s="170" t="s">
        <v>1</v>
      </c>
      <c r="CP3" s="170" t="s">
        <v>2</v>
      </c>
    </row>
    <row r="4" spans="1:94" x14ac:dyDescent="0.2">
      <c r="A4" s="6" t="str">
        <f>B4&amp;"&amp;"&amp;C4</f>
        <v>1- Preferred Resource Strategy&amp;2023</v>
      </c>
      <c r="B4" s="6" t="str">
        <f>'Scenario List'!$A$3</f>
        <v>1- Preferred Resource Strategy</v>
      </c>
      <c r="C4" s="6">
        <v>2023</v>
      </c>
      <c r="D4" s="171">
        <v>652.82849883621634</v>
      </c>
      <c r="E4" s="171">
        <v>320.48969637197138</v>
      </c>
      <c r="F4" s="171">
        <v>973.31819520818772</v>
      </c>
      <c r="G4" s="171">
        <v>428.58590271383912</v>
      </c>
      <c r="H4" s="171">
        <v>129.92621154689022</v>
      </c>
      <c r="I4" s="171">
        <v>558.51211426072928</v>
      </c>
      <c r="J4" s="171">
        <v>0.11375893776486896</v>
      </c>
      <c r="K4" s="171">
        <v>0.10374609912019557</v>
      </c>
      <c r="L4" s="8">
        <v>4.8397636089707518E-13</v>
      </c>
      <c r="M4" s="8">
        <v>5.9785315169638691E-13</v>
      </c>
      <c r="N4" s="8">
        <v>-4.8316906031686813E-13</v>
      </c>
      <c r="O4" s="8">
        <v>-5.9685589803848416E-13</v>
      </c>
      <c r="P4" s="171">
        <v>2.646920458106508</v>
      </c>
      <c r="Q4" s="8">
        <v>3.0189758845214847</v>
      </c>
      <c r="R4" s="8">
        <v>0</v>
      </c>
      <c r="S4" s="8">
        <v>0</v>
      </c>
      <c r="T4" s="8">
        <v>0</v>
      </c>
      <c r="U4" s="8">
        <v>0</v>
      </c>
      <c r="V4" s="171">
        <v>0</v>
      </c>
      <c r="W4" s="8">
        <v>0</v>
      </c>
      <c r="X4" s="8">
        <v>5738.700726843661</v>
      </c>
      <c r="Y4" s="8">
        <v>3475.0272683816693</v>
      </c>
      <c r="AA4" s="171">
        <v>660.33799375288709</v>
      </c>
      <c r="AB4" s="171">
        <v>324.24904823903557</v>
      </c>
      <c r="AC4" s="171">
        <v>984.58704199192266</v>
      </c>
      <c r="AD4" s="171">
        <v>440.58347667820038</v>
      </c>
      <c r="AE4" s="171">
        <v>133.68556341395433</v>
      </c>
      <c r="AF4" s="171">
        <v>574.26904009215468</v>
      </c>
      <c r="AG4" s="176">
        <v>0.11506750834105252</v>
      </c>
      <c r="AH4" s="176">
        <v>0.10496304336471651</v>
      </c>
      <c r="AI4" s="8">
        <v>8.5407593099483852E-14</v>
      </c>
      <c r="AJ4" s="8">
        <v>5.1244555859690311E-13</v>
      </c>
      <c r="AK4" s="8">
        <v>0</v>
      </c>
      <c r="AL4" s="8">
        <v>5.1159076974727213E-13</v>
      </c>
      <c r="AM4" s="174">
        <v>2.7008660276865859</v>
      </c>
      <c r="AN4" s="25">
        <v>3.0729214541015626</v>
      </c>
      <c r="AO4" s="8">
        <v>0</v>
      </c>
      <c r="AP4" s="8">
        <v>0</v>
      </c>
      <c r="AQ4" s="8">
        <v>0</v>
      </c>
      <c r="AR4" s="8">
        <v>0</v>
      </c>
      <c r="AS4" s="171">
        <v>0</v>
      </c>
      <c r="AT4" s="8">
        <v>0</v>
      </c>
      <c r="AU4" s="8">
        <v>5738.700726843661</v>
      </c>
      <c r="AV4" s="8">
        <v>3475.0272683816693</v>
      </c>
      <c r="AX4" s="171">
        <v>641.88170303936499</v>
      </c>
      <c r="AY4" s="171">
        <v>314.6203045883874</v>
      </c>
      <c r="AZ4" s="171">
        <v>956.50200762775239</v>
      </c>
      <c r="BA4" s="171">
        <v>417.1520478046744</v>
      </c>
      <c r="BB4" s="171">
        <v>124.05681976330624</v>
      </c>
      <c r="BC4" s="171">
        <v>541.20886756798063</v>
      </c>
      <c r="BD4" s="176">
        <v>0.11185139870369332</v>
      </c>
      <c r="BE4" s="176">
        <v>0.10184611135569588</v>
      </c>
      <c r="BF4" s="8">
        <v>3.7009957009776334E-13</v>
      </c>
      <c r="BG4" s="8">
        <v>1.9928438389879564E-13</v>
      </c>
      <c r="BH4" s="8">
        <v>-3.694822225952521E-13</v>
      </c>
      <c r="BI4" s="8">
        <v>1.9895196601282805E-13</v>
      </c>
      <c r="BJ4" s="174">
        <v>2.6453964681162736</v>
      </c>
      <c r="BK4" s="25">
        <v>3.0174518945312503</v>
      </c>
      <c r="BL4" s="8">
        <v>0</v>
      </c>
      <c r="BM4" s="8">
        <v>0</v>
      </c>
      <c r="BN4" s="8">
        <v>0</v>
      </c>
      <c r="BO4" s="8">
        <v>0</v>
      </c>
      <c r="BP4" s="171">
        <v>0</v>
      </c>
      <c r="BQ4" s="8">
        <v>0</v>
      </c>
      <c r="BR4" s="8">
        <v>5738.700726843661</v>
      </c>
      <c r="BS4" s="8">
        <v>3475.0272683816693</v>
      </c>
      <c r="BU4" s="171">
        <v>649.88251505753124</v>
      </c>
      <c r="BV4" s="171">
        <v>318.89546878415371</v>
      </c>
      <c r="BW4" s="171">
        <v>968.777983841685</v>
      </c>
      <c r="BX4" s="171">
        <v>435.0484730827086</v>
      </c>
      <c r="BY4" s="171">
        <v>128.33198395907255</v>
      </c>
      <c r="BZ4" s="171">
        <v>563.38045704178114</v>
      </c>
      <c r="CA4" s="171">
        <v>0.11324558397297234</v>
      </c>
      <c r="CB4" s="171">
        <v>0.10323002981993976</v>
      </c>
      <c r="CC4" s="8">
        <v>2.8469197699827949E-13</v>
      </c>
      <c r="CD4" s="8">
        <v>3.1316117469810747E-13</v>
      </c>
      <c r="CE4" s="8">
        <v>2.8421709430404007E-13</v>
      </c>
      <c r="CF4" s="8">
        <v>3.1263880373444408E-13</v>
      </c>
      <c r="CG4" s="171">
        <v>2.7647525616221329</v>
      </c>
      <c r="CH4" s="8">
        <v>3.1368079880371096</v>
      </c>
      <c r="CI4" s="8">
        <v>0</v>
      </c>
      <c r="CJ4" s="8">
        <v>0</v>
      </c>
      <c r="CK4" s="8">
        <v>0</v>
      </c>
      <c r="CL4" s="8">
        <v>0</v>
      </c>
      <c r="CM4" s="171">
        <v>0</v>
      </c>
      <c r="CN4" s="8">
        <v>0</v>
      </c>
      <c r="CO4" s="8">
        <v>5738.700726843661</v>
      </c>
      <c r="CP4" s="8">
        <v>3475.0272683816693</v>
      </c>
    </row>
    <row r="5" spans="1:94" x14ac:dyDescent="0.2">
      <c r="A5" s="6" t="str">
        <f t="shared" ref="A5:A68" si="0">B5&amp;"&amp;"&amp;C5</f>
        <v>1- Preferred Resource Strategy&amp;2024</v>
      </c>
      <c r="B5" s="6" t="str">
        <f>'Scenario List'!$A$3</f>
        <v>1- Preferred Resource Strategy</v>
      </c>
      <c r="C5" s="6">
        <v>2024</v>
      </c>
      <c r="D5" s="171">
        <v>655.79336962200125</v>
      </c>
      <c r="E5" s="171">
        <v>320.61802111949982</v>
      </c>
      <c r="F5" s="171">
        <v>976.41139074150101</v>
      </c>
      <c r="G5" s="171">
        <v>429.36533134269109</v>
      </c>
      <c r="H5" s="171">
        <v>125.65153743281529</v>
      </c>
      <c r="I5" s="171">
        <v>555.0168687755064</v>
      </c>
      <c r="J5" s="171">
        <v>0.11326652945681236</v>
      </c>
      <c r="K5" s="171">
        <v>0.10346809992448659</v>
      </c>
      <c r="L5" s="8">
        <v>5.6938395399655905E-14</v>
      </c>
      <c r="M5" s="8">
        <v>2.4198818044853759E-13</v>
      </c>
      <c r="N5" s="8">
        <v>0</v>
      </c>
      <c r="O5" s="8">
        <v>2.4158453015843406E-13</v>
      </c>
      <c r="P5" s="171">
        <v>2.6335296301103019</v>
      </c>
      <c r="Q5" s="8">
        <v>3.1475543693847658</v>
      </c>
      <c r="R5" s="8">
        <v>1.0380200044495842E-2</v>
      </c>
      <c r="S5" s="8">
        <v>0</v>
      </c>
      <c r="T5" s="8">
        <v>0.11416085097882279</v>
      </c>
      <c r="U5" s="8">
        <v>0</v>
      </c>
      <c r="V5" s="171">
        <v>0.99755157390182947</v>
      </c>
      <c r="W5" s="8">
        <v>0</v>
      </c>
      <c r="X5" s="8">
        <v>5789.824873834862</v>
      </c>
      <c r="Y5" s="8">
        <v>3486.4740129106776</v>
      </c>
      <c r="AA5" s="171">
        <v>666.80286917338185</v>
      </c>
      <c r="AB5" s="171">
        <v>326.17505442922902</v>
      </c>
      <c r="AC5" s="171">
        <v>992.97792360261087</v>
      </c>
      <c r="AD5" s="171">
        <v>439.43604063335721</v>
      </c>
      <c r="AE5" s="171">
        <v>131.20857074254445</v>
      </c>
      <c r="AF5" s="171">
        <v>570.6446113759016</v>
      </c>
      <c r="AG5" s="176">
        <v>0.11516805494182905</v>
      </c>
      <c r="AH5" s="176">
        <v>0.10526143541999967</v>
      </c>
      <c r="AI5" s="8">
        <v>2.8469197699827953E-14</v>
      </c>
      <c r="AJ5" s="8">
        <v>3.5586497124784937E-13</v>
      </c>
      <c r="AK5" s="8">
        <v>0</v>
      </c>
      <c r="AL5" s="8">
        <v>-3.5527136788005009E-13</v>
      </c>
      <c r="AM5" s="174">
        <v>2.6069249784989736</v>
      </c>
      <c r="AN5" s="25">
        <v>3.1209497177734375</v>
      </c>
      <c r="AO5" s="8">
        <v>1.0380200044495842E-2</v>
      </c>
      <c r="AP5" s="8">
        <v>0</v>
      </c>
      <c r="AQ5" s="8">
        <v>0.11416085097882279</v>
      </c>
      <c r="AR5" s="8">
        <v>0</v>
      </c>
      <c r="AS5" s="171">
        <v>0.99329329999414662</v>
      </c>
      <c r="AT5" s="8">
        <v>0</v>
      </c>
      <c r="AU5" s="8">
        <v>5789.824873834862</v>
      </c>
      <c r="AV5" s="8">
        <v>3486.4740129106776</v>
      </c>
      <c r="AX5" s="171">
        <v>649.66945974629652</v>
      </c>
      <c r="AY5" s="171">
        <v>317.47654020193261</v>
      </c>
      <c r="AZ5" s="171">
        <v>967.14599994822913</v>
      </c>
      <c r="BA5" s="171">
        <v>416.10865910735606</v>
      </c>
      <c r="BB5" s="171">
        <v>122.5100565152481</v>
      </c>
      <c r="BC5" s="171">
        <v>538.61871562260421</v>
      </c>
      <c r="BD5" s="176">
        <v>0.11220882736579063</v>
      </c>
      <c r="BE5" s="176">
        <v>0.10245429832857267</v>
      </c>
      <c r="BF5" s="8">
        <v>3.4163037239793541E-13</v>
      </c>
      <c r="BG5" s="8">
        <v>3.1316117469810747E-13</v>
      </c>
      <c r="BH5" s="8">
        <v>3.4106051316484809E-13</v>
      </c>
      <c r="BI5" s="8">
        <v>3.1263880373444408E-13</v>
      </c>
      <c r="BJ5" s="174">
        <v>2.5426203273759271</v>
      </c>
      <c r="BK5" s="25">
        <v>3.056645066650391</v>
      </c>
      <c r="BL5" s="8">
        <v>1.0380200044495842E-2</v>
      </c>
      <c r="BM5" s="8">
        <v>0</v>
      </c>
      <c r="BN5" s="8">
        <v>0.11416085097882279</v>
      </c>
      <c r="BO5" s="8">
        <v>0</v>
      </c>
      <c r="BP5" s="171">
        <v>0.97669755651617296</v>
      </c>
      <c r="BQ5" s="8">
        <v>0</v>
      </c>
      <c r="BR5" s="8">
        <v>5789.824873834862</v>
      </c>
      <c r="BS5" s="8">
        <v>3486.4740129106776</v>
      </c>
      <c r="BU5" s="171">
        <v>660.46444573474173</v>
      </c>
      <c r="BV5" s="171">
        <v>323.30377424408357</v>
      </c>
      <c r="BW5" s="171">
        <v>983.7682199788253</v>
      </c>
      <c r="BX5" s="171">
        <v>434.90716452738485</v>
      </c>
      <c r="BY5" s="171">
        <v>128.337290557399</v>
      </c>
      <c r="BZ5" s="171">
        <v>563.24445508478379</v>
      </c>
      <c r="CA5" s="171">
        <v>0.11407330275557823</v>
      </c>
      <c r="CB5" s="171">
        <v>0.10433483153145187</v>
      </c>
      <c r="CC5" s="8">
        <v>2.2775358159862362E-13</v>
      </c>
      <c r="CD5" s="8">
        <v>4.2703796549741926E-13</v>
      </c>
      <c r="CE5" s="8">
        <v>2.2737367544323206E-13</v>
      </c>
      <c r="CF5" s="8">
        <v>-4.2632564145606011E-13</v>
      </c>
      <c r="CG5" s="171">
        <v>2.6310392409501455</v>
      </c>
      <c r="CH5" s="8">
        <v>3.1450639802246094</v>
      </c>
      <c r="CI5" s="8">
        <v>1.0380200044495842E-2</v>
      </c>
      <c r="CJ5" s="8">
        <v>0</v>
      </c>
      <c r="CK5" s="8">
        <v>0.11416085097882279</v>
      </c>
      <c r="CL5" s="8">
        <v>0</v>
      </c>
      <c r="CM5" s="171">
        <v>0.98767829065415058</v>
      </c>
      <c r="CN5" s="8">
        <v>0</v>
      </c>
      <c r="CO5" s="8">
        <v>5789.824873834862</v>
      </c>
      <c r="CP5" s="8">
        <v>3486.4740129106776</v>
      </c>
    </row>
    <row r="6" spans="1:94" x14ac:dyDescent="0.2">
      <c r="A6" s="6" t="str">
        <f t="shared" si="0"/>
        <v>1- Preferred Resource Strategy&amp;2025</v>
      </c>
      <c r="B6" s="6" t="str">
        <f>'Scenario List'!$A$3</f>
        <v>1- Preferred Resource Strategy</v>
      </c>
      <c r="C6" s="6">
        <v>2025</v>
      </c>
      <c r="D6" s="171">
        <v>683.41604721407043</v>
      </c>
      <c r="E6" s="171">
        <v>330.44995275154213</v>
      </c>
      <c r="F6" s="171">
        <v>1013.8659999656126</v>
      </c>
      <c r="G6" s="171">
        <v>423.14637018076394</v>
      </c>
      <c r="H6" s="171">
        <v>127.94390962288679</v>
      </c>
      <c r="I6" s="171">
        <v>551.09027980365067</v>
      </c>
      <c r="J6" s="171">
        <v>0.11732873993161469</v>
      </c>
      <c r="K6" s="171">
        <v>0.10633485459520306</v>
      </c>
      <c r="L6" s="8">
        <v>5.4091475629673104E-13</v>
      </c>
      <c r="M6" s="8">
        <v>3.8433416894767731E-13</v>
      </c>
      <c r="N6" s="8">
        <v>5.4001247917767614E-13</v>
      </c>
      <c r="O6" s="8">
        <v>-3.836930773104541E-13</v>
      </c>
      <c r="P6" s="171">
        <v>2.3667071964613178</v>
      </c>
      <c r="Q6" s="8">
        <v>2.8186615239257815</v>
      </c>
      <c r="R6" s="8">
        <v>0.45467047553923573</v>
      </c>
      <c r="S6" s="8">
        <v>0</v>
      </c>
      <c r="T6" s="8">
        <v>0.5597595688873972</v>
      </c>
      <c r="U6" s="8">
        <v>0</v>
      </c>
      <c r="V6" s="171">
        <v>1.9995312874600142</v>
      </c>
      <c r="W6" s="8">
        <v>0</v>
      </c>
      <c r="X6" s="8">
        <v>5824.796615154999</v>
      </c>
      <c r="Y6" s="8">
        <v>3498.6912336044452</v>
      </c>
      <c r="AA6" s="171">
        <v>690.82255423003392</v>
      </c>
      <c r="AB6" s="171">
        <v>333.94945219489421</v>
      </c>
      <c r="AC6" s="171">
        <v>1024.7720064249281</v>
      </c>
      <c r="AD6" s="171">
        <v>436.97430458280178</v>
      </c>
      <c r="AE6" s="171">
        <v>131.4434090662389</v>
      </c>
      <c r="AF6" s="171">
        <v>568.41771364904071</v>
      </c>
      <c r="AG6" s="176">
        <v>0.11860028767916921</v>
      </c>
      <c r="AH6" s="176">
        <v>0.10746095178894249</v>
      </c>
      <c r="AI6" s="8">
        <v>2.2775358159862362E-13</v>
      </c>
      <c r="AJ6" s="8">
        <v>4.6974176204716121E-13</v>
      </c>
      <c r="AK6" s="8">
        <v>-2.2737367544323206E-13</v>
      </c>
      <c r="AL6" s="8">
        <v>4.6895820560166612E-13</v>
      </c>
      <c r="AM6" s="174">
        <v>2.4343371356703023</v>
      </c>
      <c r="AN6" s="25">
        <v>2.886291463134766</v>
      </c>
      <c r="AO6" s="8">
        <v>0.45467047553923573</v>
      </c>
      <c r="AP6" s="8">
        <v>0</v>
      </c>
      <c r="AQ6" s="8">
        <v>0.5597595688873972</v>
      </c>
      <c r="AR6" s="8">
        <v>0</v>
      </c>
      <c r="AS6" s="171">
        <v>2.0075749291500844</v>
      </c>
      <c r="AT6" s="8">
        <v>0</v>
      </c>
      <c r="AU6" s="8">
        <v>5824.796615154999</v>
      </c>
      <c r="AV6" s="8">
        <v>3498.6912336044452</v>
      </c>
      <c r="AX6" s="171">
        <v>672.64946772375606</v>
      </c>
      <c r="AY6" s="171">
        <v>324.76771327918209</v>
      </c>
      <c r="AZ6" s="171">
        <v>997.41718100293815</v>
      </c>
      <c r="BA6" s="171">
        <v>408.38570473827798</v>
      </c>
      <c r="BB6" s="171">
        <v>122.26167015052677</v>
      </c>
      <c r="BC6" s="171">
        <v>530.64737488880473</v>
      </c>
      <c r="BD6" s="176">
        <v>0.11548033556633577</v>
      </c>
      <c r="BE6" s="176">
        <v>0.10450637768655957</v>
      </c>
      <c r="BF6" s="8">
        <v>1.5658058734905374E-13</v>
      </c>
      <c r="BG6" s="8">
        <v>4.2703796549741926E-14</v>
      </c>
      <c r="BH6" s="8">
        <v>1.5631940186722204E-13</v>
      </c>
      <c r="BI6" s="8">
        <v>0</v>
      </c>
      <c r="BJ6" s="174">
        <v>2.3248190323420737</v>
      </c>
      <c r="BK6" s="25">
        <v>2.7767733598065374</v>
      </c>
      <c r="BL6" s="8">
        <v>0.45467047553923573</v>
      </c>
      <c r="BM6" s="8">
        <v>0</v>
      </c>
      <c r="BN6" s="8">
        <v>0.5597595688873972</v>
      </c>
      <c r="BO6" s="8">
        <v>0</v>
      </c>
      <c r="BP6" s="171">
        <v>2.0208843689573155</v>
      </c>
      <c r="BQ6" s="8">
        <v>0</v>
      </c>
      <c r="BR6" s="8">
        <v>5824.796615154999</v>
      </c>
      <c r="BS6" s="8">
        <v>3498.6912336044452</v>
      </c>
      <c r="BU6" s="171">
        <v>681.66887889472434</v>
      </c>
      <c r="BV6" s="171">
        <v>329.50110342471498</v>
      </c>
      <c r="BW6" s="171">
        <v>1011.1699823194393</v>
      </c>
      <c r="BX6" s="171">
        <v>433.64471079894298</v>
      </c>
      <c r="BY6" s="171">
        <v>126.99506029605971</v>
      </c>
      <c r="BZ6" s="171">
        <v>560.63977109500274</v>
      </c>
      <c r="CA6" s="171">
        <v>0.11702878639936598</v>
      </c>
      <c r="CB6" s="171">
        <v>0.10602952619566541</v>
      </c>
      <c r="CC6" s="8">
        <v>3.7009957009776334E-13</v>
      </c>
      <c r="CD6" s="8">
        <v>5.1244555859690311E-13</v>
      </c>
      <c r="CE6" s="8">
        <v>3.694822225952521E-13</v>
      </c>
      <c r="CF6" s="8">
        <v>-5.1159076974727213E-13</v>
      </c>
      <c r="CG6" s="171">
        <v>2.5131883472834802</v>
      </c>
      <c r="CH6" s="8">
        <v>2.9651426747479439</v>
      </c>
      <c r="CI6" s="8">
        <v>0.45467047553923573</v>
      </c>
      <c r="CJ6" s="8">
        <v>0</v>
      </c>
      <c r="CK6" s="8">
        <v>0.5597595688873972</v>
      </c>
      <c r="CL6" s="8">
        <v>0</v>
      </c>
      <c r="CM6" s="171">
        <v>2.0004983228667066</v>
      </c>
      <c r="CN6" s="8">
        <v>0</v>
      </c>
      <c r="CO6" s="8">
        <v>5824.796615154999</v>
      </c>
      <c r="CP6" s="8">
        <v>3498.6912336044452</v>
      </c>
    </row>
    <row r="7" spans="1:94" x14ac:dyDescent="0.2">
      <c r="A7" s="6" t="str">
        <f t="shared" si="0"/>
        <v>1- Preferred Resource Strategy&amp;2026</v>
      </c>
      <c r="B7" s="6" t="str">
        <f>'Scenario List'!$A$3</f>
        <v>1- Preferred Resource Strategy</v>
      </c>
      <c r="C7" s="6">
        <v>2026</v>
      </c>
      <c r="D7" s="171">
        <v>693.93354678724245</v>
      </c>
      <c r="E7" s="171">
        <v>341.26899393060154</v>
      </c>
      <c r="F7" s="171">
        <v>1035.2025407178439</v>
      </c>
      <c r="G7" s="171">
        <v>315.0415616656598</v>
      </c>
      <c r="H7" s="171">
        <v>130.85482427803728</v>
      </c>
      <c r="I7" s="171">
        <v>445.89638594369706</v>
      </c>
      <c r="J7" s="171">
        <v>0.11977441488156168</v>
      </c>
      <c r="K7" s="171">
        <v>0.11074123795303584</v>
      </c>
      <c r="L7" s="8">
        <v>3.4163037239793541E-13</v>
      </c>
      <c r="M7" s="8">
        <v>4.2703796549741926E-13</v>
      </c>
      <c r="N7" s="8">
        <v>-3.4106051316484809E-13</v>
      </c>
      <c r="O7" s="8">
        <v>-4.2632564145606011E-13</v>
      </c>
      <c r="P7" s="171">
        <v>1.3487123916064683</v>
      </c>
      <c r="Q7" s="8">
        <v>1.4832570693359375</v>
      </c>
      <c r="R7" s="8">
        <v>1.4307627098382865</v>
      </c>
      <c r="S7" s="8">
        <v>0</v>
      </c>
      <c r="T7" s="8">
        <v>1.5898481240728199</v>
      </c>
      <c r="U7" s="8">
        <v>0</v>
      </c>
      <c r="V7" s="171">
        <v>2.9508039949492177</v>
      </c>
      <c r="W7" s="8">
        <v>0</v>
      </c>
      <c r="X7" s="8">
        <v>5793.6709394358977</v>
      </c>
      <c r="Y7" s="8">
        <v>3474.0383743474008</v>
      </c>
      <c r="AA7" s="171">
        <v>706.40525095153521</v>
      </c>
      <c r="AB7" s="171">
        <v>347.49231178203991</v>
      </c>
      <c r="AC7" s="171">
        <v>1053.8975627335751</v>
      </c>
      <c r="AD7" s="171">
        <v>323.78727861876251</v>
      </c>
      <c r="AE7" s="171">
        <v>137.07814212947562</v>
      </c>
      <c r="AF7" s="171">
        <v>460.86542074823814</v>
      </c>
      <c r="AG7" s="176">
        <v>0.12192705770416339</v>
      </c>
      <c r="AH7" s="176">
        <v>0.11276069455559978</v>
      </c>
      <c r="AI7" s="8">
        <v>7.6866833789535461E-13</v>
      </c>
      <c r="AJ7" s="8">
        <v>1.4234598849913974E-13</v>
      </c>
      <c r="AK7" s="8">
        <v>-7.673861546209082E-13</v>
      </c>
      <c r="AL7" s="8">
        <v>1.4210854715202004E-13</v>
      </c>
      <c r="AM7" s="174">
        <v>1.2913064577685776</v>
      </c>
      <c r="AN7" s="25">
        <v>1.4258511354980468</v>
      </c>
      <c r="AO7" s="8">
        <v>1.4307627098382865</v>
      </c>
      <c r="AP7" s="8">
        <v>0</v>
      </c>
      <c r="AQ7" s="8">
        <v>1.5898481240728199</v>
      </c>
      <c r="AR7" s="8">
        <v>0</v>
      </c>
      <c r="AS7" s="171">
        <v>3.0190319325200115</v>
      </c>
      <c r="AT7" s="8">
        <v>0</v>
      </c>
      <c r="AU7" s="8">
        <v>5793.6709394358977</v>
      </c>
      <c r="AV7" s="8">
        <v>3474.0383743474008</v>
      </c>
      <c r="AX7" s="171">
        <v>661.64595095413313</v>
      </c>
      <c r="AY7" s="171">
        <v>324.04385663643109</v>
      </c>
      <c r="AZ7" s="171">
        <v>985.68980759056421</v>
      </c>
      <c r="BA7" s="171">
        <v>289.12068613993858</v>
      </c>
      <c r="BB7" s="171">
        <v>113.62968698386683</v>
      </c>
      <c r="BC7" s="171">
        <v>402.75037312380539</v>
      </c>
      <c r="BD7" s="176">
        <v>0.11420150675981512</v>
      </c>
      <c r="BE7" s="176">
        <v>0.10515170869080422</v>
      </c>
      <c r="BF7" s="8">
        <v>3.4163037239793541E-13</v>
      </c>
      <c r="BG7" s="8">
        <v>1.4234598849913974E-13</v>
      </c>
      <c r="BH7" s="8">
        <v>-3.4106051316484809E-13</v>
      </c>
      <c r="BI7" s="8">
        <v>-1.4210854715202004E-13</v>
      </c>
      <c r="BJ7" s="174">
        <v>1.4431847631884995</v>
      </c>
      <c r="BK7" s="25">
        <v>1.5777294409179687</v>
      </c>
      <c r="BL7" s="8">
        <v>1.4307627098382865</v>
      </c>
      <c r="BM7" s="8">
        <v>0</v>
      </c>
      <c r="BN7" s="8">
        <v>1.5898481240728199</v>
      </c>
      <c r="BO7" s="8">
        <v>0</v>
      </c>
      <c r="BP7" s="171">
        <v>3.0145436178825507</v>
      </c>
      <c r="BQ7" s="8">
        <v>0</v>
      </c>
      <c r="BR7" s="8">
        <v>5793.6709394358977</v>
      </c>
      <c r="BS7" s="8">
        <v>3474.0383743474008</v>
      </c>
      <c r="BU7" s="171">
        <v>692.76366209413868</v>
      </c>
      <c r="BV7" s="171">
        <v>340.58588340569275</v>
      </c>
      <c r="BW7" s="171">
        <v>1033.3495454998315</v>
      </c>
      <c r="BX7" s="171">
        <v>312.03174736780301</v>
      </c>
      <c r="BY7" s="171">
        <v>130.17171375312847</v>
      </c>
      <c r="BZ7" s="171">
        <v>442.20346112093148</v>
      </c>
      <c r="CA7" s="171">
        <v>0.11957249028050423</v>
      </c>
      <c r="CB7" s="171">
        <v>0.11051956968978151</v>
      </c>
      <c r="CC7" s="8">
        <v>5.1244555859690311E-13</v>
      </c>
      <c r="CD7" s="8">
        <v>5.9785315169638691E-13</v>
      </c>
      <c r="CE7" s="8">
        <v>-5.1159076974727213E-13</v>
      </c>
      <c r="CF7" s="8">
        <v>-5.9685589803848416E-13</v>
      </c>
      <c r="CG7" s="171">
        <v>1.3224747827197494</v>
      </c>
      <c r="CH7" s="8">
        <v>1.4570194604492186</v>
      </c>
      <c r="CI7" s="8">
        <v>1.4307627098382865</v>
      </c>
      <c r="CJ7" s="8">
        <v>0</v>
      </c>
      <c r="CK7" s="8">
        <v>1.5898481240728199</v>
      </c>
      <c r="CL7" s="8">
        <v>0</v>
      </c>
      <c r="CM7" s="171">
        <v>3.004811255679694</v>
      </c>
      <c r="CN7" s="8">
        <v>0</v>
      </c>
      <c r="CO7" s="8">
        <v>5793.6709394358977</v>
      </c>
      <c r="CP7" s="8">
        <v>3474.0383743474008</v>
      </c>
    </row>
    <row r="8" spans="1:94" x14ac:dyDescent="0.2">
      <c r="A8" s="6" t="str">
        <f t="shared" si="0"/>
        <v>1- Preferred Resource Strategy&amp;2027</v>
      </c>
      <c r="B8" s="6" t="str">
        <f>'Scenario List'!$A$3</f>
        <v>1- Preferred Resource Strategy</v>
      </c>
      <c r="C8" s="6">
        <v>2027</v>
      </c>
      <c r="D8" s="171">
        <v>712.35893364573667</v>
      </c>
      <c r="E8" s="171">
        <v>344.7035472929789</v>
      </c>
      <c r="F8" s="171">
        <v>1057.0624809387155</v>
      </c>
      <c r="G8" s="171">
        <v>318.12632057553225</v>
      </c>
      <c r="H8" s="171">
        <v>125.99352217898105</v>
      </c>
      <c r="I8" s="171">
        <v>444.11984275451329</v>
      </c>
      <c r="J8" s="171">
        <v>0.12214617261552757</v>
      </c>
      <c r="K8" s="171">
        <v>0.1110798140883453</v>
      </c>
      <c r="L8" s="8">
        <v>1.1387679079931181E-13</v>
      </c>
      <c r="M8" s="8">
        <v>2.2775358159862362E-13</v>
      </c>
      <c r="N8" s="8">
        <v>0</v>
      </c>
      <c r="O8" s="8">
        <v>2.2737367544323206E-13</v>
      </c>
      <c r="P8" s="171">
        <v>1.6066551643005191</v>
      </c>
      <c r="Q8" s="8">
        <v>1.5073329108886719</v>
      </c>
      <c r="R8" s="8">
        <v>3.1283509710090627</v>
      </c>
      <c r="S8" s="8">
        <v>0</v>
      </c>
      <c r="T8" s="8">
        <v>3.3425748974627369</v>
      </c>
      <c r="U8" s="8">
        <v>0</v>
      </c>
      <c r="V8" s="171">
        <v>4.2072999610664832</v>
      </c>
      <c r="W8" s="8">
        <v>0</v>
      </c>
      <c r="X8" s="8">
        <v>5832.0200984764997</v>
      </c>
      <c r="Y8" s="8">
        <v>3494.4829570790039</v>
      </c>
      <c r="AA8" s="171">
        <v>727.05188776649186</v>
      </c>
      <c r="AB8" s="171">
        <v>352.26455173264685</v>
      </c>
      <c r="AC8" s="171">
        <v>1079.3164394991386</v>
      </c>
      <c r="AD8" s="171">
        <v>325.46878026547154</v>
      </c>
      <c r="AE8" s="171">
        <v>133.55452661864896</v>
      </c>
      <c r="AF8" s="171">
        <v>459.02330688412053</v>
      </c>
      <c r="AG8" s="176">
        <v>0.12466553192373597</v>
      </c>
      <c r="AH8" s="176">
        <v>0.11351632793937808</v>
      </c>
      <c r="AI8" s="8">
        <v>4.8397636089707518E-13</v>
      </c>
      <c r="AJ8" s="8">
        <v>3.5586497124784937E-13</v>
      </c>
      <c r="AK8" s="8">
        <v>-4.8316906031686813E-13</v>
      </c>
      <c r="AL8" s="8">
        <v>3.5527136788005009E-13</v>
      </c>
      <c r="AM8" s="174">
        <v>1.5038607576843084</v>
      </c>
      <c r="AN8" s="25">
        <v>1.4045385042724612</v>
      </c>
      <c r="AO8" s="8">
        <v>3.1283509710090627</v>
      </c>
      <c r="AP8" s="8">
        <v>0</v>
      </c>
      <c r="AQ8" s="8">
        <v>3.3425748974627369</v>
      </c>
      <c r="AR8" s="8">
        <v>0</v>
      </c>
      <c r="AS8" s="171">
        <v>4.1750004091456194</v>
      </c>
      <c r="AT8" s="8">
        <v>0</v>
      </c>
      <c r="AU8" s="8">
        <v>5832.0200984764997</v>
      </c>
      <c r="AV8" s="8">
        <v>3494.4829570790039</v>
      </c>
      <c r="AX8" s="171">
        <v>683.91289859023607</v>
      </c>
      <c r="AY8" s="171">
        <v>329.58558301422426</v>
      </c>
      <c r="AZ8" s="171">
        <v>1013.4984816044603</v>
      </c>
      <c r="BA8" s="171">
        <v>294.83725151734211</v>
      </c>
      <c r="BB8" s="171">
        <v>110.8755579002264</v>
      </c>
      <c r="BC8" s="171">
        <v>405.71280941756851</v>
      </c>
      <c r="BD8" s="176">
        <v>0.11726861139742897</v>
      </c>
      <c r="BE8" s="176">
        <v>0.10620808974820964</v>
      </c>
      <c r="BF8" s="8">
        <v>3.4163037239793541E-13</v>
      </c>
      <c r="BG8" s="8">
        <v>4.5550716319724724E-13</v>
      </c>
      <c r="BH8" s="8">
        <v>3.4106051316484809E-13</v>
      </c>
      <c r="BI8" s="8">
        <v>4.5474735088646412E-13</v>
      </c>
      <c r="BJ8" s="174">
        <v>1.6840830278259096</v>
      </c>
      <c r="BK8" s="25">
        <v>1.5847607744140624</v>
      </c>
      <c r="BL8" s="8">
        <v>3.1283509710090627</v>
      </c>
      <c r="BM8" s="8">
        <v>0</v>
      </c>
      <c r="BN8" s="8">
        <v>3.3425748974627369</v>
      </c>
      <c r="BO8" s="8">
        <v>0</v>
      </c>
      <c r="BP8" s="171">
        <v>4.199826082887955</v>
      </c>
      <c r="BQ8" s="8">
        <v>0</v>
      </c>
      <c r="BR8" s="8">
        <v>5832.0200984764997</v>
      </c>
      <c r="BS8" s="8">
        <v>3494.4829570790039</v>
      </c>
      <c r="BU8" s="171">
        <v>715.26697493703614</v>
      </c>
      <c r="BV8" s="171">
        <v>346.1918513667809</v>
      </c>
      <c r="BW8" s="171">
        <v>1061.458826303817</v>
      </c>
      <c r="BX8" s="171">
        <v>313.2402085748879</v>
      </c>
      <c r="BY8" s="171">
        <v>127.48182625278301</v>
      </c>
      <c r="BZ8" s="171">
        <v>440.72203482767088</v>
      </c>
      <c r="CA8" s="171">
        <v>0.12264480623513035</v>
      </c>
      <c r="CB8" s="171">
        <v>0.11155941617287024</v>
      </c>
      <c r="CC8" s="8">
        <v>6.5479154709604278E-13</v>
      </c>
      <c r="CD8" s="8">
        <v>7.5443373904544065E-13</v>
      </c>
      <c r="CE8" s="8">
        <v>-6.5369931689929217E-13</v>
      </c>
      <c r="CF8" s="8">
        <v>-7.531752999057062E-13</v>
      </c>
      <c r="CG8" s="171">
        <v>1.5045529940124334</v>
      </c>
      <c r="CH8" s="8">
        <v>1.4052307406005862</v>
      </c>
      <c r="CI8" s="8">
        <v>3.1283509710090627</v>
      </c>
      <c r="CJ8" s="8">
        <v>0</v>
      </c>
      <c r="CK8" s="8">
        <v>3.3425748974627369</v>
      </c>
      <c r="CL8" s="8">
        <v>0</v>
      </c>
      <c r="CM8" s="171">
        <v>4.1747892728290079</v>
      </c>
      <c r="CN8" s="8">
        <v>0</v>
      </c>
      <c r="CO8" s="8">
        <v>5832.0200984764997</v>
      </c>
      <c r="CP8" s="8">
        <v>3494.4829570790039</v>
      </c>
    </row>
    <row r="9" spans="1:94" x14ac:dyDescent="0.2">
      <c r="A9" s="6" t="str">
        <f t="shared" si="0"/>
        <v>1- Preferred Resource Strategy&amp;2028</v>
      </c>
      <c r="B9" s="6" t="str">
        <f>'Scenario List'!$A$3</f>
        <v>1- Preferred Resource Strategy</v>
      </c>
      <c r="C9" s="6">
        <v>2028</v>
      </c>
      <c r="D9" s="171">
        <v>741.62897896918912</v>
      </c>
      <c r="E9" s="171">
        <v>354.76955422154862</v>
      </c>
      <c r="F9" s="171">
        <v>1096.3985331907377</v>
      </c>
      <c r="G9" s="171">
        <v>320.74506255730137</v>
      </c>
      <c r="H9" s="171">
        <v>127.4200269677951</v>
      </c>
      <c r="I9" s="171">
        <v>448.16508952509645</v>
      </c>
      <c r="J9" s="171">
        <v>0.12629499585925033</v>
      </c>
      <c r="K9" s="171">
        <v>0.11356995750265562</v>
      </c>
      <c r="L9" s="8">
        <v>4.2703796549741926E-13</v>
      </c>
      <c r="M9" s="8">
        <v>5.6938395399655898E-13</v>
      </c>
      <c r="N9" s="8">
        <v>-4.2632564145606011E-13</v>
      </c>
      <c r="O9" s="8">
        <v>5.6843418860808015E-13</v>
      </c>
      <c r="P9" s="171">
        <v>1.574350144568315</v>
      </c>
      <c r="Q9" s="8">
        <v>1.4196819521484376</v>
      </c>
      <c r="R9" s="8">
        <v>3.7086057963520278</v>
      </c>
      <c r="S9" s="8">
        <v>0</v>
      </c>
      <c r="T9" s="8">
        <v>3.9784722455760666</v>
      </c>
      <c r="U9" s="8">
        <v>0</v>
      </c>
      <c r="V9" s="171">
        <v>5.2623249117238329</v>
      </c>
      <c r="W9" s="8">
        <v>0</v>
      </c>
      <c r="X9" s="8">
        <v>5872.1960749394912</v>
      </c>
      <c r="Y9" s="8">
        <v>3513.3508606421024</v>
      </c>
      <c r="AA9" s="171">
        <v>755.87779844211207</v>
      </c>
      <c r="AB9" s="171">
        <v>362.08035229941692</v>
      </c>
      <c r="AC9" s="171">
        <v>1117.9581507415289</v>
      </c>
      <c r="AD9" s="171">
        <v>327.26522398559251</v>
      </c>
      <c r="AE9" s="171">
        <v>134.73082504566341</v>
      </c>
      <c r="AF9" s="171">
        <v>461.99604903125589</v>
      </c>
      <c r="AG9" s="176">
        <v>0.12872148490884661</v>
      </c>
      <c r="AH9" s="176">
        <v>0.11591031342422238</v>
      </c>
      <c r="AI9" s="8">
        <v>9.1101432639449448E-13</v>
      </c>
      <c r="AJ9" s="8">
        <v>3.7009957009776334E-13</v>
      </c>
      <c r="AK9" s="8">
        <v>9.0949470177292824E-13</v>
      </c>
      <c r="AL9" s="8">
        <v>3.694822225952521E-13</v>
      </c>
      <c r="AM9" s="174">
        <v>1.4670091322392134</v>
      </c>
      <c r="AN9" s="25">
        <v>1.312340939819336</v>
      </c>
      <c r="AO9" s="8">
        <v>3.7086057963520278</v>
      </c>
      <c r="AP9" s="8">
        <v>0</v>
      </c>
      <c r="AQ9" s="8">
        <v>3.9784722455760666</v>
      </c>
      <c r="AR9" s="8">
        <v>0</v>
      </c>
      <c r="AS9" s="171">
        <v>5.4173766428756647</v>
      </c>
      <c r="AT9" s="8">
        <v>0</v>
      </c>
      <c r="AU9" s="8">
        <v>5872.1960749394912</v>
      </c>
      <c r="AV9" s="8">
        <v>3513.3508606421024</v>
      </c>
      <c r="AX9" s="171">
        <v>710.69307874635706</v>
      </c>
      <c r="AY9" s="171">
        <v>338.27262651407477</v>
      </c>
      <c r="AZ9" s="171">
        <v>1048.9657052604318</v>
      </c>
      <c r="BA9" s="171">
        <v>295.84261403252799</v>
      </c>
      <c r="BB9" s="171">
        <v>110.92309926032127</v>
      </c>
      <c r="BC9" s="171">
        <v>406.76571329284923</v>
      </c>
      <c r="BD9" s="176">
        <v>0.12102679639383129</v>
      </c>
      <c r="BE9" s="176">
        <v>0.10828890856153883</v>
      </c>
      <c r="BF9" s="8">
        <v>4.9821095974698914E-13</v>
      </c>
      <c r="BG9" s="8">
        <v>4.9821095974698914E-13</v>
      </c>
      <c r="BH9" s="8">
        <v>4.9737991503207013E-13</v>
      </c>
      <c r="BI9" s="8">
        <v>-4.9737991503207013E-13</v>
      </c>
      <c r="BJ9" s="174">
        <v>1.6602719486890938</v>
      </c>
      <c r="BK9" s="25">
        <v>1.5056037562692164</v>
      </c>
      <c r="BL9" s="8">
        <v>3.7086057963520278</v>
      </c>
      <c r="BM9" s="8">
        <v>0</v>
      </c>
      <c r="BN9" s="8">
        <v>3.9784722455760666</v>
      </c>
      <c r="BO9" s="8">
        <v>0</v>
      </c>
      <c r="BP9" s="171">
        <v>5.2936627819815678</v>
      </c>
      <c r="BQ9" s="8">
        <v>0</v>
      </c>
      <c r="BR9" s="8">
        <v>5872.1960749394912</v>
      </c>
      <c r="BS9" s="8">
        <v>3513.3508606421024</v>
      </c>
      <c r="BU9" s="171">
        <v>742.62099670088742</v>
      </c>
      <c r="BV9" s="171">
        <v>355.20794281504118</v>
      </c>
      <c r="BW9" s="171">
        <v>1097.8289395159286</v>
      </c>
      <c r="BX9" s="171">
        <v>314.26531002204376</v>
      </c>
      <c r="BY9" s="171">
        <v>127.85841556128769</v>
      </c>
      <c r="BZ9" s="171">
        <v>442.12372558333146</v>
      </c>
      <c r="CA9" s="171">
        <v>0.12646393056766919</v>
      </c>
      <c r="CB9" s="171">
        <v>0.11371029585283296</v>
      </c>
      <c r="CC9" s="8">
        <v>5.9785315169638691E-13</v>
      </c>
      <c r="CD9" s="8">
        <v>7.6866833789535461E-13</v>
      </c>
      <c r="CE9" s="8">
        <v>5.9685589803848416E-13</v>
      </c>
      <c r="CF9" s="8">
        <v>-7.673861546209082E-13</v>
      </c>
      <c r="CG9" s="171">
        <v>1.4797872562626508</v>
      </c>
      <c r="CH9" s="8">
        <v>1.3251190638427734</v>
      </c>
      <c r="CI9" s="8">
        <v>3.7086057963520278</v>
      </c>
      <c r="CJ9" s="8">
        <v>0</v>
      </c>
      <c r="CK9" s="8">
        <v>3.9784722455760666</v>
      </c>
      <c r="CL9" s="8">
        <v>0</v>
      </c>
      <c r="CM9" s="171">
        <v>5.3840527155207232</v>
      </c>
      <c r="CN9" s="8">
        <v>0</v>
      </c>
      <c r="CO9" s="8">
        <v>5872.1960749394912</v>
      </c>
      <c r="CP9" s="8">
        <v>3513.3508606421024</v>
      </c>
    </row>
    <row r="10" spans="1:94" x14ac:dyDescent="0.2">
      <c r="A10" s="6" t="str">
        <f t="shared" si="0"/>
        <v>1- Preferred Resource Strategy&amp;2029</v>
      </c>
      <c r="B10" s="6" t="str">
        <f>'Scenario List'!$A$3</f>
        <v>1- Preferred Resource Strategy</v>
      </c>
      <c r="C10" s="6">
        <v>2029</v>
      </c>
      <c r="D10" s="171">
        <v>761.21864940596799</v>
      </c>
      <c r="E10" s="171">
        <v>362.62554118362715</v>
      </c>
      <c r="F10" s="171">
        <v>1123.8441905895952</v>
      </c>
      <c r="G10" s="171">
        <v>321.10634026268013</v>
      </c>
      <c r="H10" s="171">
        <v>126.27642202123363</v>
      </c>
      <c r="I10" s="171">
        <v>447.38276228391373</v>
      </c>
      <c r="J10" s="171">
        <v>0.12883322507283476</v>
      </c>
      <c r="K10" s="171">
        <v>0.11522847652115727</v>
      </c>
      <c r="L10" s="8">
        <v>7.4019914019552668E-13</v>
      </c>
      <c r="M10" s="8">
        <v>6.2632234939621495E-13</v>
      </c>
      <c r="N10" s="8">
        <v>-7.3896444519050419E-13</v>
      </c>
      <c r="O10" s="8">
        <v>6.2527760746888816E-13</v>
      </c>
      <c r="P10" s="171">
        <v>1.6112416571576926</v>
      </c>
      <c r="Q10" s="8">
        <v>1.438779050048828</v>
      </c>
      <c r="R10" s="8">
        <v>3.8710158394504606</v>
      </c>
      <c r="S10" s="8">
        <v>0</v>
      </c>
      <c r="T10" s="8">
        <v>4.199077351103468</v>
      </c>
      <c r="U10" s="8">
        <v>0</v>
      </c>
      <c r="V10" s="171">
        <v>6.5825184474533307</v>
      </c>
      <c r="W10" s="8">
        <v>0</v>
      </c>
      <c r="X10" s="8">
        <v>5908.5585180035632</v>
      </c>
      <c r="Y10" s="8">
        <v>3534.4216080775113</v>
      </c>
      <c r="AA10" s="171">
        <v>776.98158524698567</v>
      </c>
      <c r="AB10" s="171">
        <v>370.84804202469093</v>
      </c>
      <c r="AC10" s="171">
        <v>1147.8296272716766</v>
      </c>
      <c r="AD10" s="171">
        <v>325.88092386777561</v>
      </c>
      <c r="AE10" s="171">
        <v>134.49892286229746</v>
      </c>
      <c r="AF10" s="171">
        <v>460.37984673007304</v>
      </c>
      <c r="AG10" s="176">
        <v>0.13150103919246944</v>
      </c>
      <c r="AH10" s="176">
        <v>0.11784127164313665</v>
      </c>
      <c r="AI10" s="8">
        <v>7.4019914019552668E-13</v>
      </c>
      <c r="AJ10" s="8">
        <v>7.4019914019552668E-13</v>
      </c>
      <c r="AK10" s="8">
        <v>-7.3896444519050419E-13</v>
      </c>
      <c r="AL10" s="8">
        <v>-7.3896444519050419E-13</v>
      </c>
      <c r="AM10" s="174">
        <v>1.4661639343793726</v>
      </c>
      <c r="AN10" s="25">
        <v>1.293701327270508</v>
      </c>
      <c r="AO10" s="8">
        <v>3.8710158394504606</v>
      </c>
      <c r="AP10" s="8">
        <v>0</v>
      </c>
      <c r="AQ10" s="8">
        <v>4.199077351103468</v>
      </c>
      <c r="AR10" s="8">
        <v>0</v>
      </c>
      <c r="AS10" s="171">
        <v>6.6219542290804077</v>
      </c>
      <c r="AT10" s="8">
        <v>0</v>
      </c>
      <c r="AU10" s="8">
        <v>5908.5585180035632</v>
      </c>
      <c r="AV10" s="8">
        <v>3534.4216080775113</v>
      </c>
      <c r="AX10" s="171">
        <v>731.74351310675888</v>
      </c>
      <c r="AY10" s="171">
        <v>346.82004146672875</v>
      </c>
      <c r="AZ10" s="171">
        <v>1078.5635545734876</v>
      </c>
      <c r="BA10" s="171">
        <v>298.99372903211668</v>
      </c>
      <c r="BB10" s="171">
        <v>110.47092230433526</v>
      </c>
      <c r="BC10" s="171">
        <v>409.46465133645194</v>
      </c>
      <c r="BD10" s="176">
        <v>0.12384467563063198</v>
      </c>
      <c r="BE10" s="176">
        <v>0.11020609545255092</v>
      </c>
      <c r="BF10" s="8">
        <v>4.1280336664750529E-13</v>
      </c>
      <c r="BG10" s="8">
        <v>4.4127256434733322E-13</v>
      </c>
      <c r="BH10" s="8">
        <v>-4.1211478674085811E-13</v>
      </c>
      <c r="BI10" s="8">
        <v>4.4053649617126212E-13</v>
      </c>
      <c r="BJ10" s="174">
        <v>1.7078349782026148</v>
      </c>
      <c r="BK10" s="25">
        <v>1.5353723710937501</v>
      </c>
      <c r="BL10" s="8">
        <v>3.8710158394504606</v>
      </c>
      <c r="BM10" s="8">
        <v>0</v>
      </c>
      <c r="BN10" s="8">
        <v>4.199077351103468</v>
      </c>
      <c r="BO10" s="8">
        <v>0</v>
      </c>
      <c r="BP10" s="171">
        <v>6.501370045592104</v>
      </c>
      <c r="BQ10" s="8">
        <v>0</v>
      </c>
      <c r="BR10" s="8">
        <v>5908.5585180035632</v>
      </c>
      <c r="BS10" s="8">
        <v>3534.4216080775113</v>
      </c>
      <c r="BU10" s="171">
        <v>764.71831140930112</v>
      </c>
      <c r="BV10" s="171">
        <v>364.36010177569545</v>
      </c>
      <c r="BW10" s="171">
        <v>1129.0784131849966</v>
      </c>
      <c r="BX10" s="171">
        <v>313.99239376302683</v>
      </c>
      <c r="BY10" s="171">
        <v>128.01098261330193</v>
      </c>
      <c r="BZ10" s="171">
        <v>442.00337637632879</v>
      </c>
      <c r="CA10" s="171">
        <v>0.12942552893047948</v>
      </c>
      <c r="CB10" s="171">
        <v>0.11577965329101546</v>
      </c>
      <c r="CC10" s="8">
        <v>9.6795272179415035E-13</v>
      </c>
      <c r="CD10" s="8">
        <v>4.4127256434733322E-13</v>
      </c>
      <c r="CE10" s="8">
        <v>9.6633812063373625E-13</v>
      </c>
      <c r="CF10" s="8">
        <v>4.4053649617126212E-13</v>
      </c>
      <c r="CG10" s="171">
        <v>1.4786927493207787</v>
      </c>
      <c r="CH10" s="8">
        <v>1.306230142211914</v>
      </c>
      <c r="CI10" s="8">
        <v>3.8710158394504606</v>
      </c>
      <c r="CJ10" s="8">
        <v>0</v>
      </c>
      <c r="CK10" s="8">
        <v>4.199077351103468</v>
      </c>
      <c r="CL10" s="8">
        <v>0</v>
      </c>
      <c r="CM10" s="171">
        <v>6.6219542456956857</v>
      </c>
      <c r="CN10" s="8">
        <v>0</v>
      </c>
      <c r="CO10" s="8">
        <v>5908.5585180035632</v>
      </c>
      <c r="CP10" s="8">
        <v>3534.4216080775113</v>
      </c>
    </row>
    <row r="11" spans="1:94" x14ac:dyDescent="0.2">
      <c r="A11" s="6" t="str">
        <f t="shared" si="0"/>
        <v>1- Preferred Resource Strategy&amp;2030</v>
      </c>
      <c r="B11" s="6" t="str">
        <f>'Scenario List'!$A$3</f>
        <v>1- Preferred Resource Strategy</v>
      </c>
      <c r="C11" s="6">
        <v>2030</v>
      </c>
      <c r="D11" s="171">
        <v>789.85768079694299</v>
      </c>
      <c r="E11" s="171">
        <v>373.3208717163734</v>
      </c>
      <c r="F11" s="171">
        <v>1163.1785525133164</v>
      </c>
      <c r="G11" s="171">
        <v>326.52919476794773</v>
      </c>
      <c r="H11" s="171">
        <v>127.85506387386985</v>
      </c>
      <c r="I11" s="171">
        <v>454.38425864181761</v>
      </c>
      <c r="J11" s="171">
        <v>0.13287999032662229</v>
      </c>
      <c r="K11" s="171">
        <v>0.11804900694815522</v>
      </c>
      <c r="L11" s="8">
        <v>3.7009957009776334E-13</v>
      </c>
      <c r="M11" s="8">
        <v>4.4127256434733322E-13</v>
      </c>
      <c r="N11" s="8">
        <v>-3.694822225952521E-13</v>
      </c>
      <c r="O11" s="8">
        <v>-4.4053649617126212E-13</v>
      </c>
      <c r="P11" s="171">
        <v>1.4887707200907105</v>
      </c>
      <c r="Q11" s="8">
        <v>1.4836133218510152</v>
      </c>
      <c r="R11" s="8">
        <v>18.1080688457055</v>
      </c>
      <c r="S11" s="8">
        <v>0</v>
      </c>
      <c r="T11" s="8">
        <v>27.228305936522638</v>
      </c>
      <c r="U11" s="8">
        <v>0</v>
      </c>
      <c r="V11" s="171">
        <v>552.34877401587732</v>
      </c>
      <c r="W11" s="8">
        <v>0</v>
      </c>
      <c r="X11" s="8">
        <v>5944.1431238477171</v>
      </c>
      <c r="Y11" s="8">
        <v>3553.6844433251467</v>
      </c>
      <c r="AA11" s="171">
        <v>813.36464498534519</v>
      </c>
      <c r="AB11" s="171">
        <v>388.82460579967386</v>
      </c>
      <c r="AC11" s="171">
        <v>1202.1892507850191</v>
      </c>
      <c r="AD11" s="171">
        <v>333.23263385974388</v>
      </c>
      <c r="AE11" s="171">
        <v>143.35879795717028</v>
      </c>
      <c r="AF11" s="171">
        <v>476.59143181691417</v>
      </c>
      <c r="AG11" s="176">
        <v>0.13683463335903734</v>
      </c>
      <c r="AH11" s="176">
        <v>0.12295149312340545</v>
      </c>
      <c r="AI11" s="8">
        <v>6.8326074479587081E-13</v>
      </c>
      <c r="AJ11" s="8">
        <v>6.5479154709604278E-13</v>
      </c>
      <c r="AK11" s="8">
        <v>6.8212102632969618E-13</v>
      </c>
      <c r="AL11" s="8">
        <v>-6.5369931689929217E-13</v>
      </c>
      <c r="AM11" s="174">
        <v>1.2789139188695782</v>
      </c>
      <c r="AN11" s="25">
        <v>1.2737565206298829</v>
      </c>
      <c r="AO11" s="8">
        <v>18.1080688457055</v>
      </c>
      <c r="AP11" s="8">
        <v>0</v>
      </c>
      <c r="AQ11" s="8">
        <v>27.228305936522638</v>
      </c>
      <c r="AR11" s="8">
        <v>0</v>
      </c>
      <c r="AS11" s="171">
        <v>529.98858159368501</v>
      </c>
      <c r="AT11" s="8">
        <v>0</v>
      </c>
      <c r="AU11" s="8">
        <v>5944.1431238477171</v>
      </c>
      <c r="AV11" s="8">
        <v>3553.6844433251467</v>
      </c>
      <c r="AX11" s="171">
        <v>763.41095029630128</v>
      </c>
      <c r="AY11" s="171">
        <v>357.700811452464</v>
      </c>
      <c r="AZ11" s="171">
        <v>1121.1117617487653</v>
      </c>
      <c r="BA11" s="171">
        <v>307.20243357027908</v>
      </c>
      <c r="BB11" s="171">
        <v>112.23500360996049</v>
      </c>
      <c r="BC11" s="171">
        <v>419.43743718023956</v>
      </c>
      <c r="BD11" s="176">
        <v>0.12843078209767869</v>
      </c>
      <c r="BE11" s="176">
        <v>0.11310973689302217</v>
      </c>
      <c r="BF11" s="8">
        <v>4.2703796549741926E-13</v>
      </c>
      <c r="BG11" s="8">
        <v>5.9785315169638691E-13</v>
      </c>
      <c r="BH11" s="8">
        <v>-4.2632564145606011E-13</v>
      </c>
      <c r="BI11" s="8">
        <v>-5.9685589803848416E-13</v>
      </c>
      <c r="BJ11" s="174">
        <v>1.5853676526342264</v>
      </c>
      <c r="BK11" s="25">
        <v>1.5802102543945311</v>
      </c>
      <c r="BL11" s="8">
        <v>18.1080688457055</v>
      </c>
      <c r="BM11" s="8">
        <v>0</v>
      </c>
      <c r="BN11" s="8">
        <v>27.228305936522638</v>
      </c>
      <c r="BO11" s="8">
        <v>0</v>
      </c>
      <c r="BP11" s="171">
        <v>542.94980478111381</v>
      </c>
      <c r="BQ11" s="8">
        <v>0</v>
      </c>
      <c r="BR11" s="8">
        <v>5944.1431238477171</v>
      </c>
      <c r="BS11" s="8">
        <v>3553.6844433251467</v>
      </c>
      <c r="BU11" s="171">
        <v>788.05493898920645</v>
      </c>
      <c r="BV11" s="171">
        <v>372.37288984824301</v>
      </c>
      <c r="BW11" s="171">
        <v>1160.4278288374494</v>
      </c>
      <c r="BX11" s="171">
        <v>314.69509001959631</v>
      </c>
      <c r="BY11" s="171">
        <v>126.90708200573951</v>
      </c>
      <c r="BZ11" s="171">
        <v>441.60217202533579</v>
      </c>
      <c r="CA11" s="171">
        <v>0.13257670997650689</v>
      </c>
      <c r="CB11" s="171">
        <v>0.11774924251863607</v>
      </c>
      <c r="CC11" s="8">
        <v>3.4163037239793541E-13</v>
      </c>
      <c r="CD11" s="8">
        <v>9.9642191949397818E-14</v>
      </c>
      <c r="CE11" s="8">
        <v>-3.4106051316484809E-13</v>
      </c>
      <c r="CF11" s="8">
        <v>0</v>
      </c>
      <c r="CG11" s="171">
        <v>1.3600644617162578</v>
      </c>
      <c r="CH11" s="8">
        <v>1.3549070634765625</v>
      </c>
      <c r="CI11" s="8">
        <v>18.1080688457055</v>
      </c>
      <c r="CJ11" s="8">
        <v>0</v>
      </c>
      <c r="CK11" s="8">
        <v>27.228305936522638</v>
      </c>
      <c r="CL11" s="8">
        <v>0</v>
      </c>
      <c r="CM11" s="171">
        <v>555.19009347488964</v>
      </c>
      <c r="CN11" s="8">
        <v>0</v>
      </c>
      <c r="CO11" s="8">
        <v>5944.1431238477171</v>
      </c>
      <c r="CP11" s="8">
        <v>3553.6844433251467</v>
      </c>
    </row>
    <row r="12" spans="1:94" x14ac:dyDescent="0.2">
      <c r="A12" s="6" t="str">
        <f t="shared" si="0"/>
        <v>1- Preferred Resource Strategy&amp;2031</v>
      </c>
      <c r="B12" s="6" t="str">
        <f>'Scenario List'!$A$3</f>
        <v>1- Preferred Resource Strategy</v>
      </c>
      <c r="C12" s="6">
        <v>2031</v>
      </c>
      <c r="D12" s="171">
        <v>826.56799871309727</v>
      </c>
      <c r="E12" s="171">
        <v>389.00540861622972</v>
      </c>
      <c r="F12" s="171">
        <v>1215.573407329327</v>
      </c>
      <c r="G12" s="171">
        <v>330.89035046785853</v>
      </c>
      <c r="H12" s="171">
        <v>133.92754077564518</v>
      </c>
      <c r="I12" s="171">
        <v>464.81789124350371</v>
      </c>
      <c r="J12" s="171">
        <v>0.13797248518084851</v>
      </c>
      <c r="K12" s="171">
        <v>0.12210675608824885</v>
      </c>
      <c r="L12" s="8">
        <v>5.6938395399655898E-13</v>
      </c>
      <c r="M12" s="8">
        <v>4.5550716319724724E-13</v>
      </c>
      <c r="N12" s="8">
        <v>5.6843418860808015E-13</v>
      </c>
      <c r="O12" s="8">
        <v>4.5474735088646412E-13</v>
      </c>
      <c r="P12" s="171">
        <v>1.4186994160368669</v>
      </c>
      <c r="Q12" s="8">
        <v>1.3683519328613283</v>
      </c>
      <c r="R12" s="8">
        <v>17.486043113795091</v>
      </c>
      <c r="S12" s="8">
        <v>0</v>
      </c>
      <c r="T12" s="8">
        <v>26.55855359846171</v>
      </c>
      <c r="U12" s="8">
        <v>0</v>
      </c>
      <c r="V12" s="171">
        <v>547.39833957127496</v>
      </c>
      <c r="W12" s="8">
        <v>0</v>
      </c>
      <c r="X12" s="8">
        <v>5990.8176447620472</v>
      </c>
      <c r="Y12" s="8">
        <v>3577.0113331509606</v>
      </c>
      <c r="AA12" s="171">
        <v>838.70374503692881</v>
      </c>
      <c r="AB12" s="171">
        <v>398.83332081948447</v>
      </c>
      <c r="AC12" s="171">
        <v>1237.5370658564134</v>
      </c>
      <c r="AD12" s="171">
        <v>331.26815428004591</v>
      </c>
      <c r="AE12" s="171">
        <v>143.75545297889994</v>
      </c>
      <c r="AF12" s="171">
        <v>475.02360725894584</v>
      </c>
      <c r="AG12" s="176">
        <v>0.13999820972187876</v>
      </c>
      <c r="AH12" s="176">
        <v>0.12519168614752074</v>
      </c>
      <c r="AI12" s="8">
        <v>2.2775358159862362E-13</v>
      </c>
      <c r="AJ12" s="8">
        <v>5.1244555859690311E-13</v>
      </c>
      <c r="AK12" s="8">
        <v>-2.2737367544323206E-13</v>
      </c>
      <c r="AL12" s="8">
        <v>-5.1159076974727213E-13</v>
      </c>
      <c r="AM12" s="174">
        <v>1.2723276980040299</v>
      </c>
      <c r="AN12" s="25">
        <v>1.2219802148284913</v>
      </c>
      <c r="AO12" s="8">
        <v>17.486043113795091</v>
      </c>
      <c r="AP12" s="8">
        <v>0</v>
      </c>
      <c r="AQ12" s="8">
        <v>26.55855359846171</v>
      </c>
      <c r="AR12" s="8">
        <v>0</v>
      </c>
      <c r="AS12" s="171">
        <v>546.43124047415381</v>
      </c>
      <c r="AT12" s="8">
        <v>0</v>
      </c>
      <c r="AU12" s="8">
        <v>5990.8176447620472</v>
      </c>
      <c r="AV12" s="8">
        <v>3577.0113331509606</v>
      </c>
      <c r="AX12" s="171">
        <v>795.24496518532828</v>
      </c>
      <c r="AY12" s="171">
        <v>370.78251466519441</v>
      </c>
      <c r="AZ12" s="171">
        <v>1166.0274798505227</v>
      </c>
      <c r="BA12" s="171">
        <v>310.31089295114839</v>
      </c>
      <c r="BB12" s="171">
        <v>115.70464682460991</v>
      </c>
      <c r="BC12" s="171">
        <v>426.01553977575827</v>
      </c>
      <c r="BD12" s="176">
        <v>0.13274397792438816</v>
      </c>
      <c r="BE12" s="176">
        <v>0.11638668531901107</v>
      </c>
      <c r="BF12" s="8">
        <v>4.2703796549741926E-13</v>
      </c>
      <c r="BG12" s="8">
        <v>2.9892657584819346E-13</v>
      </c>
      <c r="BH12" s="8">
        <v>-4.2632564145606011E-13</v>
      </c>
      <c r="BI12" s="8">
        <v>-2.9842794901924208E-13</v>
      </c>
      <c r="BJ12" s="174">
        <v>1.5513756543181167</v>
      </c>
      <c r="BK12" s="25">
        <v>1.5010281711425781</v>
      </c>
      <c r="BL12" s="8">
        <v>17.486043113795091</v>
      </c>
      <c r="BM12" s="8">
        <v>0</v>
      </c>
      <c r="BN12" s="8">
        <v>26.55855359846171</v>
      </c>
      <c r="BO12" s="8">
        <v>0</v>
      </c>
      <c r="BP12" s="171">
        <v>546.35188860239919</v>
      </c>
      <c r="BQ12" s="8">
        <v>0</v>
      </c>
      <c r="BR12" s="8">
        <v>5990.8176447620472</v>
      </c>
      <c r="BS12" s="8">
        <v>3577.0113331509606</v>
      </c>
      <c r="BU12" s="171">
        <v>823.33565842274788</v>
      </c>
      <c r="BV12" s="171">
        <v>387.25708084799817</v>
      </c>
      <c r="BW12" s="171">
        <v>1210.5927392707461</v>
      </c>
      <c r="BX12" s="171">
        <v>316.16111170373205</v>
      </c>
      <c r="BY12" s="171">
        <v>132.17921300741367</v>
      </c>
      <c r="BZ12" s="171">
        <v>448.34032471114574</v>
      </c>
      <c r="CA12" s="171">
        <v>0.13743293607720061</v>
      </c>
      <c r="CB12" s="171">
        <v>0.1215579651778161</v>
      </c>
      <c r="CC12" s="8">
        <v>1.9928438389879564E-13</v>
      </c>
      <c r="CD12" s="8">
        <v>5.1244555859690311E-13</v>
      </c>
      <c r="CE12" s="8">
        <v>0</v>
      </c>
      <c r="CF12" s="8">
        <v>-5.1159076974727213E-13</v>
      </c>
      <c r="CG12" s="171">
        <v>1.2765171596892106</v>
      </c>
      <c r="CH12" s="8">
        <v>1.226169676513672</v>
      </c>
      <c r="CI12" s="8">
        <v>17.486043113795091</v>
      </c>
      <c r="CJ12" s="8">
        <v>0</v>
      </c>
      <c r="CK12" s="8">
        <v>26.55855359846171</v>
      </c>
      <c r="CL12" s="8">
        <v>0</v>
      </c>
      <c r="CM12" s="171">
        <v>543.55372350706068</v>
      </c>
      <c r="CN12" s="8">
        <v>0</v>
      </c>
      <c r="CO12" s="8">
        <v>5990.8176447620472</v>
      </c>
      <c r="CP12" s="8">
        <v>3577.0113331509606</v>
      </c>
    </row>
    <row r="13" spans="1:94" x14ac:dyDescent="0.2">
      <c r="A13" s="6" t="str">
        <f t="shared" si="0"/>
        <v>1- Preferred Resource Strategy&amp;2032</v>
      </c>
      <c r="B13" s="6" t="str">
        <f>'Scenario List'!$A$3</f>
        <v>1- Preferred Resource Strategy</v>
      </c>
      <c r="C13" s="6">
        <v>2032</v>
      </c>
      <c r="D13" s="171">
        <v>854.92940574322756</v>
      </c>
      <c r="E13" s="171">
        <v>400.28378201918292</v>
      </c>
      <c r="F13" s="171">
        <v>1255.2131877624106</v>
      </c>
      <c r="G13" s="171">
        <v>328.02487706585953</v>
      </c>
      <c r="H13" s="171">
        <v>135.25068998041664</v>
      </c>
      <c r="I13" s="171">
        <v>463.27556704627614</v>
      </c>
      <c r="J13" s="171">
        <v>0.14149454799099592</v>
      </c>
      <c r="K13" s="171">
        <v>0.12474495175555185</v>
      </c>
      <c r="L13" s="8">
        <v>4.2703796549741926E-14</v>
      </c>
      <c r="M13" s="8">
        <v>1.4234598849913974E-13</v>
      </c>
      <c r="N13" s="8">
        <v>0</v>
      </c>
      <c r="O13" s="8">
        <v>1.4210854715202004E-13</v>
      </c>
      <c r="P13" s="171">
        <v>1.244115642714986</v>
      </c>
      <c r="Q13" s="8">
        <v>1.255429392578125</v>
      </c>
      <c r="R13" s="8">
        <v>67.066083623829897</v>
      </c>
      <c r="S13" s="8">
        <v>0</v>
      </c>
      <c r="T13" s="8">
        <v>65.063076658737089</v>
      </c>
      <c r="U13" s="8">
        <v>0</v>
      </c>
      <c r="V13" s="171">
        <v>1396.5604161118638</v>
      </c>
      <c r="W13" s="8">
        <v>0</v>
      </c>
      <c r="X13" s="8">
        <v>6042.1367316402284</v>
      </c>
      <c r="Y13" s="8">
        <v>3600.7603290491734</v>
      </c>
      <c r="AA13" s="171">
        <v>854.10736079087133</v>
      </c>
      <c r="AB13" s="171">
        <v>409.67499203223991</v>
      </c>
      <c r="AC13" s="171">
        <v>1263.7823528231113</v>
      </c>
      <c r="AD13" s="171">
        <v>315.93963624551947</v>
      </c>
      <c r="AE13" s="171">
        <v>144.64189999347369</v>
      </c>
      <c r="AF13" s="171">
        <v>460.58153623899318</v>
      </c>
      <c r="AG13" s="176">
        <v>0.14135849596356473</v>
      </c>
      <c r="AH13" s="176">
        <v>0.1276716405014599</v>
      </c>
      <c r="AI13" s="8">
        <v>1.9928438389879564E-13</v>
      </c>
      <c r="AJ13" s="8">
        <v>2.9892657584819346E-13</v>
      </c>
      <c r="AK13" s="8">
        <v>1.9895196601282805E-13</v>
      </c>
      <c r="AL13" s="8">
        <v>2.9842794901924208E-13</v>
      </c>
      <c r="AM13" s="174">
        <v>1.1073748096995442</v>
      </c>
      <c r="AN13" s="25">
        <v>1.1186885595626832</v>
      </c>
      <c r="AO13" s="8">
        <v>67.066083623829897</v>
      </c>
      <c r="AP13" s="8">
        <v>0</v>
      </c>
      <c r="AQ13" s="8">
        <v>65.063076658737089</v>
      </c>
      <c r="AR13" s="8">
        <v>0</v>
      </c>
      <c r="AS13" s="171">
        <v>1410.51594124793</v>
      </c>
      <c r="AT13" s="8">
        <v>0</v>
      </c>
      <c r="AU13" s="8">
        <v>6042.1367316402284</v>
      </c>
      <c r="AV13" s="8">
        <v>3600.7603290491734</v>
      </c>
      <c r="AX13" s="171">
        <v>830.91558599837663</v>
      </c>
      <c r="AY13" s="171">
        <v>383.03188530130888</v>
      </c>
      <c r="AZ13" s="171">
        <v>1213.9474712996855</v>
      </c>
      <c r="BA13" s="171">
        <v>313.33924552136557</v>
      </c>
      <c r="BB13" s="171">
        <v>117.99879326254265</v>
      </c>
      <c r="BC13" s="171">
        <v>431.33803878390825</v>
      </c>
      <c r="BD13" s="176">
        <v>0.13752015601487591</v>
      </c>
      <c r="BE13" s="176">
        <v>0.11936854851256504</v>
      </c>
      <c r="BF13" s="8">
        <v>3.4163037239793541E-13</v>
      </c>
      <c r="BG13" s="8">
        <v>3.1316117469810747E-13</v>
      </c>
      <c r="BH13" s="8">
        <v>-3.4106051316484809E-13</v>
      </c>
      <c r="BI13" s="8">
        <v>3.1263880373444408E-13</v>
      </c>
      <c r="BJ13" s="174">
        <v>1.3555830904688921</v>
      </c>
      <c r="BK13" s="25">
        <v>1.3668968403320312</v>
      </c>
      <c r="BL13" s="8">
        <v>67.066083623829897</v>
      </c>
      <c r="BM13" s="8">
        <v>0</v>
      </c>
      <c r="BN13" s="8">
        <v>65.063076658737089</v>
      </c>
      <c r="BO13" s="8">
        <v>0</v>
      </c>
      <c r="BP13" s="171">
        <v>1387.8393470405401</v>
      </c>
      <c r="BQ13" s="8">
        <v>0</v>
      </c>
      <c r="BR13" s="8">
        <v>6042.1367316402284</v>
      </c>
      <c r="BS13" s="8">
        <v>3600.7603290491734</v>
      </c>
      <c r="BU13" s="171">
        <v>850.14349672724825</v>
      </c>
      <c r="BV13" s="171">
        <v>398.16843706212939</v>
      </c>
      <c r="BW13" s="171">
        <v>1248.3119337893777</v>
      </c>
      <c r="BX13" s="171">
        <v>312.89546318699746</v>
      </c>
      <c r="BY13" s="171">
        <v>133.13534502336313</v>
      </c>
      <c r="BZ13" s="171">
        <v>446.03080821036059</v>
      </c>
      <c r="CA13" s="171">
        <v>0.14070245916074528</v>
      </c>
      <c r="CB13" s="171">
        <v>0.12408572293722979</v>
      </c>
      <c r="CC13" s="8">
        <v>5.2668015744681708E-13</v>
      </c>
      <c r="CD13" s="8">
        <v>6.1208775054630098E-13</v>
      </c>
      <c r="CE13" s="8">
        <v>5.2580162446247414E-13</v>
      </c>
      <c r="CF13" s="8">
        <v>6.1106675275368616E-13</v>
      </c>
      <c r="CG13" s="171">
        <v>1.1205751571192828</v>
      </c>
      <c r="CH13" s="8">
        <v>1.1318889069824218</v>
      </c>
      <c r="CI13" s="8">
        <v>67.066083623829897</v>
      </c>
      <c r="CJ13" s="8">
        <v>0</v>
      </c>
      <c r="CK13" s="8">
        <v>65.063076658737089</v>
      </c>
      <c r="CL13" s="8">
        <v>0</v>
      </c>
      <c r="CM13" s="171">
        <v>1410.6687089729253</v>
      </c>
      <c r="CN13" s="8">
        <v>0</v>
      </c>
      <c r="CO13" s="8">
        <v>6042.1367316402284</v>
      </c>
      <c r="CP13" s="8">
        <v>3600.7603290491734</v>
      </c>
    </row>
    <row r="14" spans="1:94" x14ac:dyDescent="0.2">
      <c r="A14" s="6" t="str">
        <f t="shared" si="0"/>
        <v>1- Preferred Resource Strategy&amp;2033</v>
      </c>
      <c r="B14" s="6" t="str">
        <f>'Scenario List'!$A$3</f>
        <v>1- Preferred Resource Strategy</v>
      </c>
      <c r="C14" s="6">
        <v>2033</v>
      </c>
      <c r="D14" s="171">
        <v>883.244706484875</v>
      </c>
      <c r="E14" s="171">
        <v>410.97523330910076</v>
      </c>
      <c r="F14" s="171">
        <v>1294.2199397939758</v>
      </c>
      <c r="G14" s="171">
        <v>327.40718004579458</v>
      </c>
      <c r="H14" s="171">
        <v>135.60645902711164</v>
      </c>
      <c r="I14" s="171">
        <v>463.01363907290624</v>
      </c>
      <c r="J14" s="171">
        <v>0.14506616800611064</v>
      </c>
      <c r="K14" s="171">
        <v>0.12698972734208669</v>
      </c>
      <c r="L14" s="8">
        <v>2.9892657584819346E-13</v>
      </c>
      <c r="M14" s="8">
        <v>6.2632234939621495E-13</v>
      </c>
      <c r="N14" s="8">
        <v>2.9842794901924208E-13</v>
      </c>
      <c r="O14" s="8">
        <v>-6.2527760746888816E-13</v>
      </c>
      <c r="P14" s="171">
        <v>1.1203834382098015</v>
      </c>
      <c r="Q14" s="8">
        <v>1.1969858792240622</v>
      </c>
      <c r="R14" s="8">
        <v>66.218261433744161</v>
      </c>
      <c r="S14" s="8">
        <v>0</v>
      </c>
      <c r="T14" s="8">
        <v>64.312025776635593</v>
      </c>
      <c r="U14" s="8">
        <v>0</v>
      </c>
      <c r="V14" s="171">
        <v>1385.72722468288</v>
      </c>
      <c r="W14" s="8">
        <v>0</v>
      </c>
      <c r="X14" s="8">
        <v>6088.5644021952112</v>
      </c>
      <c r="Y14" s="8">
        <v>3626.6975182318206</v>
      </c>
      <c r="AA14" s="171">
        <v>890.07226000895048</v>
      </c>
      <c r="AB14" s="171">
        <v>424.17950789622705</v>
      </c>
      <c r="AC14" s="171">
        <v>1314.2517679051775</v>
      </c>
      <c r="AD14" s="171">
        <v>318.95068994249999</v>
      </c>
      <c r="AE14" s="171">
        <v>148.81073361423799</v>
      </c>
      <c r="AF14" s="171">
        <v>467.76142355673801</v>
      </c>
      <c r="AG14" s="176">
        <v>0.14618754130087513</v>
      </c>
      <c r="AH14" s="176">
        <v>0.13106979614834505</v>
      </c>
      <c r="AI14" s="8">
        <v>1.2811138964922578E-13</v>
      </c>
      <c r="AJ14" s="8">
        <v>5.2668015744681708E-13</v>
      </c>
      <c r="AK14" s="8">
        <v>-1.2789769243681803E-13</v>
      </c>
      <c r="AL14" s="8">
        <v>5.2580162446247414E-13</v>
      </c>
      <c r="AM14" s="174">
        <v>0.94339165883162557</v>
      </c>
      <c r="AN14" s="25">
        <v>1.0199940998458863</v>
      </c>
      <c r="AO14" s="8">
        <v>66.218261433744161</v>
      </c>
      <c r="AP14" s="8">
        <v>0</v>
      </c>
      <c r="AQ14" s="8">
        <v>64.312025776635593</v>
      </c>
      <c r="AR14" s="8">
        <v>0</v>
      </c>
      <c r="AS14" s="171">
        <v>1368.9135535144299</v>
      </c>
      <c r="AT14" s="8">
        <v>0</v>
      </c>
      <c r="AU14" s="8">
        <v>6088.5644021952112</v>
      </c>
      <c r="AV14" s="8">
        <v>3626.6975182318206</v>
      </c>
      <c r="AX14" s="171">
        <v>859.11521055192793</v>
      </c>
      <c r="AY14" s="171">
        <v>393.69364423398991</v>
      </c>
      <c r="AZ14" s="171">
        <v>1252.8088547859179</v>
      </c>
      <c r="BA14" s="171">
        <v>312.11920811793073</v>
      </c>
      <c r="BB14" s="171">
        <v>118.32486995200081</v>
      </c>
      <c r="BC14" s="171">
        <v>430.44407806993155</v>
      </c>
      <c r="BD14" s="176">
        <v>0.14110308338730504</v>
      </c>
      <c r="BE14" s="176">
        <v>0.12164978442870017</v>
      </c>
      <c r="BF14" s="8">
        <v>5.6938395399655898E-13</v>
      </c>
      <c r="BG14" s="8">
        <v>8.5407593099483852E-14</v>
      </c>
      <c r="BH14" s="8">
        <v>-5.6843418860808015E-13</v>
      </c>
      <c r="BI14" s="8">
        <v>0</v>
      </c>
      <c r="BJ14" s="174">
        <v>1.2227214165334994</v>
      </c>
      <c r="BK14" s="25">
        <v>1.2993238575477601</v>
      </c>
      <c r="BL14" s="8">
        <v>66.218261433744161</v>
      </c>
      <c r="BM14" s="8">
        <v>0</v>
      </c>
      <c r="BN14" s="8">
        <v>64.312025776635593</v>
      </c>
      <c r="BO14" s="8">
        <v>0</v>
      </c>
      <c r="BP14" s="171">
        <v>1377.4871381309868</v>
      </c>
      <c r="BQ14" s="8">
        <v>0</v>
      </c>
      <c r="BR14" s="8">
        <v>6088.5644021952112</v>
      </c>
      <c r="BS14" s="8">
        <v>3626.6975182318206</v>
      </c>
      <c r="BU14" s="171">
        <v>877.74394377053784</v>
      </c>
      <c r="BV14" s="171">
        <v>409.0055946788658</v>
      </c>
      <c r="BW14" s="171">
        <v>1286.7495384494036</v>
      </c>
      <c r="BX14" s="171">
        <v>309.563815777228</v>
      </c>
      <c r="BY14" s="171">
        <v>133.63682039687669</v>
      </c>
      <c r="BZ14" s="171">
        <v>443.20063617410472</v>
      </c>
      <c r="CA14" s="171">
        <v>0.14416270992453825</v>
      </c>
      <c r="CB14" s="171">
        <v>0.12638111676815497</v>
      </c>
      <c r="CC14" s="8">
        <v>8.1137213444509662E-13</v>
      </c>
      <c r="CD14" s="8">
        <v>5.9785315169638691E-13</v>
      </c>
      <c r="CE14" s="8">
        <v>-8.1001871876651421E-13</v>
      </c>
      <c r="CF14" s="8">
        <v>5.9685589803848416E-13</v>
      </c>
      <c r="CG14" s="171">
        <v>0.97679382973769213</v>
      </c>
      <c r="CH14" s="8">
        <v>1.0533962707519529</v>
      </c>
      <c r="CI14" s="8">
        <v>66.218261433744161</v>
      </c>
      <c r="CJ14" s="8">
        <v>0</v>
      </c>
      <c r="CK14" s="8">
        <v>64.312025776635593</v>
      </c>
      <c r="CL14" s="8">
        <v>0</v>
      </c>
      <c r="CM14" s="171">
        <v>1402.8239795745978</v>
      </c>
      <c r="CN14" s="8">
        <v>0</v>
      </c>
      <c r="CO14" s="8">
        <v>6088.5644021952112</v>
      </c>
      <c r="CP14" s="8">
        <v>3626.6975182318206</v>
      </c>
    </row>
    <row r="15" spans="1:94" x14ac:dyDescent="0.2">
      <c r="A15" s="6" t="str">
        <f t="shared" si="0"/>
        <v>1- Preferred Resource Strategy&amp;2034</v>
      </c>
      <c r="B15" s="6" t="str">
        <f>'Scenario List'!$A$3</f>
        <v>1- Preferred Resource Strategy</v>
      </c>
      <c r="C15" s="6">
        <v>2034</v>
      </c>
      <c r="D15" s="171">
        <v>896.95201253406481</v>
      </c>
      <c r="E15" s="171">
        <v>425.34431277577096</v>
      </c>
      <c r="F15" s="171">
        <v>1322.2963253098358</v>
      </c>
      <c r="G15" s="171">
        <v>312.05042113769611</v>
      </c>
      <c r="H15" s="171">
        <v>139.08867968475755</v>
      </c>
      <c r="I15" s="171">
        <v>451.13910082245366</v>
      </c>
      <c r="J15" s="171">
        <v>0.14609112934047006</v>
      </c>
      <c r="K15" s="171">
        <v>0.13031409149374365</v>
      </c>
      <c r="L15" s="8">
        <v>3.8433416894767731E-13</v>
      </c>
      <c r="M15" s="8">
        <v>3.2739577354802139E-13</v>
      </c>
      <c r="N15" s="8">
        <v>-3.836930773104541E-13</v>
      </c>
      <c r="O15" s="8">
        <v>3.2684965844964609E-13</v>
      </c>
      <c r="P15" s="171">
        <v>1.2570882665980101</v>
      </c>
      <c r="Q15" s="8">
        <v>1.2276336885194397</v>
      </c>
      <c r="R15" s="8">
        <v>65.269646042239927</v>
      </c>
      <c r="S15" s="8">
        <v>88.620796747508805</v>
      </c>
      <c r="T15" s="8">
        <v>63.399634656680561</v>
      </c>
      <c r="U15" s="8">
        <v>83.593377839228708</v>
      </c>
      <c r="V15" s="171">
        <v>1395.0964068668486</v>
      </c>
      <c r="W15" s="8">
        <v>158.50082136224978</v>
      </c>
      <c r="X15" s="8">
        <v>6139.6747125124166</v>
      </c>
      <c r="Y15" s="8">
        <v>3653.4639178131342</v>
      </c>
      <c r="AA15" s="171">
        <v>902.77945109327504</v>
      </c>
      <c r="AB15" s="171">
        <v>439.89526160336629</v>
      </c>
      <c r="AC15" s="171">
        <v>1342.6747126966413</v>
      </c>
      <c r="AD15" s="171">
        <v>302.94534185813467</v>
      </c>
      <c r="AE15" s="171">
        <v>153.63962851235289</v>
      </c>
      <c r="AF15" s="171">
        <v>456.58497037048755</v>
      </c>
      <c r="AG15" s="176">
        <v>0.14704027385252932</v>
      </c>
      <c r="AH15" s="176">
        <v>0.13477211201943401</v>
      </c>
      <c r="AI15" s="8">
        <v>0</v>
      </c>
      <c r="AJ15" s="8">
        <v>8.8254512869466645E-13</v>
      </c>
      <c r="AK15" s="8">
        <v>0</v>
      </c>
      <c r="AL15" s="8">
        <v>8.8107299234252423E-13</v>
      </c>
      <c r="AM15" s="174">
        <v>1.0564035498179198</v>
      </c>
      <c r="AN15" s="25">
        <v>1.0269489717393494</v>
      </c>
      <c r="AO15" s="8">
        <v>65.269646042239927</v>
      </c>
      <c r="AP15" s="8">
        <v>88.620796747508805</v>
      </c>
      <c r="AQ15" s="8">
        <v>63.399634656680561</v>
      </c>
      <c r="AR15" s="8">
        <v>83.593377839228708</v>
      </c>
      <c r="AS15" s="171">
        <v>1401.8414957098805</v>
      </c>
      <c r="AT15" s="8">
        <v>95.144323238401995</v>
      </c>
      <c r="AU15" s="8">
        <v>6139.6747125124166</v>
      </c>
      <c r="AV15" s="8">
        <v>3653.4639178131342</v>
      </c>
      <c r="AX15" s="171">
        <v>871.31145746007564</v>
      </c>
      <c r="AY15" s="171">
        <v>405.69268089211312</v>
      </c>
      <c r="AZ15" s="171">
        <v>1277.0041383521889</v>
      </c>
      <c r="BA15" s="171">
        <v>295.64545625276492</v>
      </c>
      <c r="BB15" s="171">
        <v>119.43704780109967</v>
      </c>
      <c r="BC15" s="171">
        <v>415.08250405386457</v>
      </c>
      <c r="BD15" s="176">
        <v>0.14191492192320498</v>
      </c>
      <c r="BE15" s="176">
        <v>0.12429335845848528</v>
      </c>
      <c r="BF15" s="8">
        <v>2.8469197699827949E-13</v>
      </c>
      <c r="BG15" s="8">
        <v>2.7045737814836552E-13</v>
      </c>
      <c r="BH15" s="8">
        <v>2.8421709430404007E-13</v>
      </c>
      <c r="BI15" s="8">
        <v>2.7000623958883807E-13</v>
      </c>
      <c r="BJ15" s="174">
        <v>1.3815168109084655</v>
      </c>
      <c r="BK15" s="25">
        <v>1.352062232829895</v>
      </c>
      <c r="BL15" s="8">
        <v>65.269646042239927</v>
      </c>
      <c r="BM15" s="8">
        <v>88.620796747508805</v>
      </c>
      <c r="BN15" s="8">
        <v>63.399634656680561</v>
      </c>
      <c r="BO15" s="8">
        <v>83.593377839228708</v>
      </c>
      <c r="BP15" s="171">
        <v>1396.9853224394355</v>
      </c>
      <c r="BQ15" s="8">
        <v>192.87987989476227</v>
      </c>
      <c r="BR15" s="8">
        <v>6139.6747125124166</v>
      </c>
      <c r="BS15" s="8">
        <v>3653.4639178131342</v>
      </c>
      <c r="BU15" s="171">
        <v>893.96257732401739</v>
      </c>
      <c r="BV15" s="171">
        <v>425.09011626131218</v>
      </c>
      <c r="BW15" s="171">
        <v>1319.0526935853295</v>
      </c>
      <c r="BX15" s="171">
        <v>293.4218296364283</v>
      </c>
      <c r="BY15" s="171">
        <v>138.83448317029871</v>
      </c>
      <c r="BZ15" s="171">
        <v>432.25631280672701</v>
      </c>
      <c r="CA15" s="171">
        <v>0.14560422484633537</v>
      </c>
      <c r="CB15" s="171">
        <v>0.13023621249819203</v>
      </c>
      <c r="CC15" s="8">
        <v>4.2703796549741926E-13</v>
      </c>
      <c r="CD15" s="8">
        <v>4.1280336664750529E-13</v>
      </c>
      <c r="CE15" s="8">
        <v>4.2632564145606011E-13</v>
      </c>
      <c r="CF15" s="8">
        <v>4.1211478674085811E-13</v>
      </c>
      <c r="CG15" s="171">
        <v>1.0559523680955076</v>
      </c>
      <c r="CH15" s="8">
        <v>1.0264977900169372</v>
      </c>
      <c r="CI15" s="8">
        <v>65.269646042239927</v>
      </c>
      <c r="CJ15" s="8">
        <v>88.620796747508805</v>
      </c>
      <c r="CK15" s="8">
        <v>63.399634656680561</v>
      </c>
      <c r="CL15" s="8">
        <v>83.593377839228708</v>
      </c>
      <c r="CM15" s="171">
        <v>1394.0193739158476</v>
      </c>
      <c r="CN15" s="8">
        <v>107.1237825</v>
      </c>
      <c r="CO15" s="8">
        <v>6139.6747125124166</v>
      </c>
      <c r="CP15" s="8">
        <v>3653.4639178131342</v>
      </c>
    </row>
    <row r="16" spans="1:94" x14ac:dyDescent="0.2">
      <c r="A16" s="6" t="str">
        <f t="shared" si="0"/>
        <v>1- Preferred Resource Strategy&amp;2035</v>
      </c>
      <c r="B16" s="6" t="str">
        <f>'Scenario List'!$A$3</f>
        <v>1- Preferred Resource Strategy</v>
      </c>
      <c r="C16" s="6">
        <v>2035</v>
      </c>
      <c r="D16" s="171">
        <v>928.04143060116621</v>
      </c>
      <c r="E16" s="171">
        <v>438.97760354848765</v>
      </c>
      <c r="F16" s="171">
        <v>1367.0190341496539</v>
      </c>
      <c r="G16" s="171">
        <v>314.05818327437964</v>
      </c>
      <c r="H16" s="171">
        <v>141.61915240798118</v>
      </c>
      <c r="I16" s="171">
        <v>455.67733568236082</v>
      </c>
      <c r="J16" s="171">
        <v>0.14986331112883577</v>
      </c>
      <c r="K16" s="171">
        <v>0.13342370105975748</v>
      </c>
      <c r="L16" s="8">
        <v>1.9928438389879564E-13</v>
      </c>
      <c r="M16" s="8">
        <v>4.1280336664750529E-13</v>
      </c>
      <c r="N16" s="8">
        <v>-1.9895196601282805E-13</v>
      </c>
      <c r="O16" s="8">
        <v>4.1211478674085811E-13</v>
      </c>
      <c r="P16" s="171">
        <v>1.2258472106049885</v>
      </c>
      <c r="Q16" s="8">
        <v>1.1836621367503355</v>
      </c>
      <c r="R16" s="8">
        <v>64.430985927120005</v>
      </c>
      <c r="S16" s="8">
        <v>88.620796747508805</v>
      </c>
      <c r="T16" s="8">
        <v>62.6032579909646</v>
      </c>
      <c r="U16" s="8">
        <v>83.593377839228708</v>
      </c>
      <c r="V16" s="171">
        <v>1378.6597478312044</v>
      </c>
      <c r="W16" s="8">
        <v>159.36059762823348</v>
      </c>
      <c r="X16" s="8">
        <v>6192.5859212021523</v>
      </c>
      <c r="Y16" s="8">
        <v>3681.4346982213524</v>
      </c>
      <c r="AA16" s="171">
        <v>937.03748285756978</v>
      </c>
      <c r="AB16" s="171">
        <v>454.90693365411107</v>
      </c>
      <c r="AC16" s="171">
        <v>1391.9444165116809</v>
      </c>
      <c r="AD16" s="171">
        <v>308.16197705997962</v>
      </c>
      <c r="AE16" s="171">
        <v>157.54848251360457</v>
      </c>
      <c r="AF16" s="171">
        <v>465.71045957358422</v>
      </c>
      <c r="AG16" s="176">
        <v>0.15131602448168613</v>
      </c>
      <c r="AH16" s="176">
        <v>0.13826529243233451</v>
      </c>
      <c r="AI16" s="8">
        <v>6.1208775054630098E-13</v>
      </c>
      <c r="AJ16" s="8">
        <v>5.4091475629673104E-13</v>
      </c>
      <c r="AK16" s="8">
        <v>6.1106675275368616E-13</v>
      </c>
      <c r="AL16" s="8">
        <v>5.4001247917767614E-13</v>
      </c>
      <c r="AM16" s="174">
        <v>1.0365541501472249</v>
      </c>
      <c r="AN16" s="25">
        <v>0.99436907629257187</v>
      </c>
      <c r="AO16" s="8">
        <v>64.430985927120005</v>
      </c>
      <c r="AP16" s="8">
        <v>88.620796747508805</v>
      </c>
      <c r="AQ16" s="8">
        <v>62.6032579909646</v>
      </c>
      <c r="AR16" s="8">
        <v>83.593377839228708</v>
      </c>
      <c r="AS16" s="171">
        <v>1388.1366690669633</v>
      </c>
      <c r="AT16" s="8">
        <v>103.92485589992341</v>
      </c>
      <c r="AU16" s="8">
        <v>6192.5859212021523</v>
      </c>
      <c r="AV16" s="8">
        <v>3681.4346982213524</v>
      </c>
      <c r="AX16" s="171">
        <v>904.04855213836345</v>
      </c>
      <c r="AY16" s="171">
        <v>420.46406094994143</v>
      </c>
      <c r="AZ16" s="171">
        <v>1324.512613088305</v>
      </c>
      <c r="BA16" s="171">
        <v>298.85333185248993</v>
      </c>
      <c r="BB16" s="171">
        <v>123.10560980943494</v>
      </c>
      <c r="BC16" s="171">
        <v>421.95894166192488</v>
      </c>
      <c r="BD16" s="176">
        <v>0.14598885887769203</v>
      </c>
      <c r="BE16" s="176">
        <v>0.12779665914860297</v>
      </c>
      <c r="BF16" s="8">
        <v>3.4163037239793541E-13</v>
      </c>
      <c r="BG16" s="8">
        <v>1.9928438389879564E-13</v>
      </c>
      <c r="BH16" s="8">
        <v>3.4106051316484809E-13</v>
      </c>
      <c r="BI16" s="8">
        <v>1.9895196601282805E-13</v>
      </c>
      <c r="BJ16" s="174">
        <v>1.3468116377208685</v>
      </c>
      <c r="BK16" s="25">
        <v>1.3046265638662156</v>
      </c>
      <c r="BL16" s="8">
        <v>64.430985927120005</v>
      </c>
      <c r="BM16" s="8">
        <v>88.620796747508805</v>
      </c>
      <c r="BN16" s="8">
        <v>62.6032579909646</v>
      </c>
      <c r="BO16" s="8">
        <v>83.593377839228708</v>
      </c>
      <c r="BP16" s="171">
        <v>1391.2247579309749</v>
      </c>
      <c r="BQ16" s="8">
        <v>199.86143464011673</v>
      </c>
      <c r="BR16" s="8">
        <v>6192.5859212021523</v>
      </c>
      <c r="BS16" s="8">
        <v>3681.4346982213524</v>
      </c>
      <c r="BU16" s="171">
        <v>923.58785693082257</v>
      </c>
      <c r="BV16" s="171">
        <v>438.48116948821831</v>
      </c>
      <c r="BW16" s="171">
        <v>1362.0690264190409</v>
      </c>
      <c r="BX16" s="171">
        <v>294.85122980637061</v>
      </c>
      <c r="BY16" s="171">
        <v>141.12271834771175</v>
      </c>
      <c r="BZ16" s="171">
        <v>435.97394815408234</v>
      </c>
      <c r="CA16" s="171">
        <v>0.14914413278766886</v>
      </c>
      <c r="CB16" s="171">
        <v>0.13327281393221879</v>
      </c>
      <c r="CC16" s="8">
        <v>4.9821095974698914E-13</v>
      </c>
      <c r="CD16" s="8">
        <v>4.4127256434733322E-13</v>
      </c>
      <c r="CE16" s="8">
        <v>-4.9737991503207013E-13</v>
      </c>
      <c r="CF16" s="8">
        <v>-4.4053649617126212E-13</v>
      </c>
      <c r="CG16" s="171">
        <v>1.0370653745109335</v>
      </c>
      <c r="CH16" s="8">
        <v>0.99488030065628064</v>
      </c>
      <c r="CI16" s="8">
        <v>64.430985927120005</v>
      </c>
      <c r="CJ16" s="8">
        <v>88.620796747508805</v>
      </c>
      <c r="CK16" s="8">
        <v>62.6032579909646</v>
      </c>
      <c r="CL16" s="8">
        <v>83.593377839228708</v>
      </c>
      <c r="CM16" s="171">
        <v>1406.4775149432942</v>
      </c>
      <c r="CN16" s="8">
        <v>107.57502000000002</v>
      </c>
      <c r="CO16" s="8">
        <v>6192.5859212021523</v>
      </c>
      <c r="CP16" s="8">
        <v>3681.4346982213524</v>
      </c>
    </row>
    <row r="17" spans="1:94" x14ac:dyDescent="0.2">
      <c r="A17" s="6" t="str">
        <f t="shared" si="0"/>
        <v>1- Preferred Resource Strategy&amp;2036</v>
      </c>
      <c r="B17" s="6" t="str">
        <f>'Scenario List'!$A$3</f>
        <v>1- Preferred Resource Strategy</v>
      </c>
      <c r="C17" s="6">
        <v>2036</v>
      </c>
      <c r="D17" s="171">
        <v>974.22887723324629</v>
      </c>
      <c r="E17" s="171">
        <v>453.83931419759972</v>
      </c>
      <c r="F17" s="171">
        <v>1428.0681914308461</v>
      </c>
      <c r="G17" s="171">
        <v>335.43729839207811</v>
      </c>
      <c r="H17" s="171">
        <v>144.91468964901441</v>
      </c>
      <c r="I17" s="171">
        <v>480.35198804109251</v>
      </c>
      <c r="J17" s="171">
        <v>0.15585731570825312</v>
      </c>
      <c r="K17" s="171">
        <v>0.13677412166555306</v>
      </c>
      <c r="L17" s="8">
        <v>5.6938395399655898E-13</v>
      </c>
      <c r="M17" s="8">
        <v>3.1316117469810747E-13</v>
      </c>
      <c r="N17" s="8">
        <v>-5.6843418860808015E-13</v>
      </c>
      <c r="O17" s="8">
        <v>-3.1263880373444408E-13</v>
      </c>
      <c r="P17" s="171">
        <v>1.2714484231683962</v>
      </c>
      <c r="Q17" s="8">
        <v>1.2022933335443116</v>
      </c>
      <c r="R17" s="8">
        <v>150.24114729394475</v>
      </c>
      <c r="S17" s="8">
        <v>88.620796747508805</v>
      </c>
      <c r="T17" s="8">
        <v>143.54383602212107</v>
      </c>
      <c r="U17" s="8">
        <v>83.607113956464431</v>
      </c>
      <c r="V17" s="171">
        <v>1407.2938400019757</v>
      </c>
      <c r="W17" s="8">
        <v>162.64165088115703</v>
      </c>
      <c r="X17" s="8">
        <v>6250.7741314940267</v>
      </c>
      <c r="Y17" s="8">
        <v>3710.3811123399173</v>
      </c>
      <c r="AA17" s="171">
        <v>984.04025990372975</v>
      </c>
      <c r="AB17" s="171">
        <v>471.15966082014097</v>
      </c>
      <c r="AC17" s="171">
        <v>1455.1999207238707</v>
      </c>
      <c r="AD17" s="171">
        <v>327.51753074383936</v>
      </c>
      <c r="AE17" s="171">
        <v>162.23503627155563</v>
      </c>
      <c r="AF17" s="171">
        <v>489.75256701539502</v>
      </c>
      <c r="AG17" s="176">
        <v>0.15742694251992267</v>
      </c>
      <c r="AH17" s="176">
        <v>0.14199397618703591</v>
      </c>
      <c r="AI17" s="8">
        <v>3.1316117469810747E-13</v>
      </c>
      <c r="AJ17" s="8">
        <v>2.4198818044853759E-13</v>
      </c>
      <c r="AK17" s="8">
        <v>-3.1263880373444408E-13</v>
      </c>
      <c r="AL17" s="8">
        <v>2.4158453015843406E-13</v>
      </c>
      <c r="AM17" s="174">
        <v>1.0508041614684145</v>
      </c>
      <c r="AN17" s="25">
        <v>0.98164907184432981</v>
      </c>
      <c r="AO17" s="8">
        <v>150.24114729394475</v>
      </c>
      <c r="AP17" s="8">
        <v>88.620796747508805</v>
      </c>
      <c r="AQ17" s="8">
        <v>143.54383602212107</v>
      </c>
      <c r="AR17" s="8">
        <v>83.607113956464431</v>
      </c>
      <c r="AS17" s="171">
        <v>1396.7129673358586</v>
      </c>
      <c r="AT17" s="8">
        <v>100.98748258494629</v>
      </c>
      <c r="AU17" s="8">
        <v>6250.7741314940267</v>
      </c>
      <c r="AV17" s="8">
        <v>3710.3811123399173</v>
      </c>
      <c r="AX17" s="171">
        <v>948.61018327974023</v>
      </c>
      <c r="AY17" s="171">
        <v>433.96746255299047</v>
      </c>
      <c r="AZ17" s="171">
        <v>1382.5776458327307</v>
      </c>
      <c r="BA17" s="171">
        <v>319.6783088906289</v>
      </c>
      <c r="BB17" s="171">
        <v>125.04283800440516</v>
      </c>
      <c r="BC17" s="171">
        <v>444.72114689503405</v>
      </c>
      <c r="BD17" s="176">
        <v>0.15175883231810336</v>
      </c>
      <c r="BE17" s="176">
        <v>0.13078531688480147</v>
      </c>
      <c r="BF17" s="8">
        <v>1.9928438389879564E-13</v>
      </c>
      <c r="BG17" s="8">
        <v>3.4163037239793541E-13</v>
      </c>
      <c r="BH17" s="8">
        <v>1.9895196601282805E-13</v>
      </c>
      <c r="BI17" s="8">
        <v>3.4106051316484809E-13</v>
      </c>
      <c r="BJ17" s="174">
        <v>1.4044741009702151</v>
      </c>
      <c r="BK17" s="25">
        <v>1.3353190113461304</v>
      </c>
      <c r="BL17" s="8">
        <v>150.24114729394475</v>
      </c>
      <c r="BM17" s="8">
        <v>88.620796747508805</v>
      </c>
      <c r="BN17" s="8">
        <v>143.54383602212107</v>
      </c>
      <c r="BO17" s="8">
        <v>83.607113956464431</v>
      </c>
      <c r="BP17" s="171">
        <v>1407.2938400019757</v>
      </c>
      <c r="BQ17" s="8">
        <v>207.96476549374589</v>
      </c>
      <c r="BR17" s="8">
        <v>6250.7741314940267</v>
      </c>
      <c r="BS17" s="8">
        <v>3710.3811123399173</v>
      </c>
      <c r="BU17" s="171">
        <v>971.19835203887237</v>
      </c>
      <c r="BV17" s="171">
        <v>454.12798512586562</v>
      </c>
      <c r="BW17" s="171">
        <v>1425.3263371647381</v>
      </c>
      <c r="BX17" s="171">
        <v>314.17138026548452</v>
      </c>
      <c r="BY17" s="171">
        <v>145.20336057728031</v>
      </c>
      <c r="BZ17" s="171">
        <v>459.37474084276482</v>
      </c>
      <c r="CA17" s="171">
        <v>0.15537249172795525</v>
      </c>
      <c r="CB17" s="171">
        <v>0.13686111878420013</v>
      </c>
      <c r="CC17" s="8">
        <v>1.9928438389879564E-13</v>
      </c>
      <c r="CD17" s="8">
        <v>5.4091475629673104E-13</v>
      </c>
      <c r="CE17" s="8">
        <v>-1.9895196601282805E-13</v>
      </c>
      <c r="CF17" s="8">
        <v>5.4001247917767614E-13</v>
      </c>
      <c r="CG17" s="171">
        <v>1.0508340003565064</v>
      </c>
      <c r="CH17" s="8">
        <v>0.98167891073242186</v>
      </c>
      <c r="CI17" s="8">
        <v>150.24114729394475</v>
      </c>
      <c r="CJ17" s="8">
        <v>88.620796747508805</v>
      </c>
      <c r="CK17" s="8">
        <v>143.54383602212107</v>
      </c>
      <c r="CL17" s="8">
        <v>83.607113956464431</v>
      </c>
      <c r="CM17" s="171">
        <v>1400.1634728234435</v>
      </c>
      <c r="CN17" s="8">
        <v>108.83848500000002</v>
      </c>
      <c r="CO17" s="8">
        <v>6250.7741314940267</v>
      </c>
      <c r="CP17" s="8">
        <v>3710.3811123399173</v>
      </c>
    </row>
    <row r="18" spans="1:94" x14ac:dyDescent="0.2">
      <c r="A18" s="6" t="str">
        <f t="shared" si="0"/>
        <v>1- Preferred Resource Strategy&amp;2037</v>
      </c>
      <c r="B18" s="6" t="str">
        <f>'Scenario List'!$A$3</f>
        <v>1- Preferred Resource Strategy</v>
      </c>
      <c r="C18" s="6">
        <v>2037</v>
      </c>
      <c r="D18" s="171">
        <v>1009.2100054529806</v>
      </c>
      <c r="E18" s="171">
        <v>469.25833605753564</v>
      </c>
      <c r="F18" s="171">
        <v>1478.4683415105162</v>
      </c>
      <c r="G18" s="171">
        <v>340.80821823983104</v>
      </c>
      <c r="H18" s="171">
        <v>148.25824280870177</v>
      </c>
      <c r="I18" s="171">
        <v>489.0664610485328</v>
      </c>
      <c r="J18" s="171">
        <v>0.16006477786351181</v>
      </c>
      <c r="K18" s="171">
        <v>0.14007803722480627</v>
      </c>
      <c r="L18" s="8">
        <v>6.6902614594595685E-13</v>
      </c>
      <c r="M18" s="8">
        <v>0</v>
      </c>
      <c r="N18" s="8">
        <v>6.6791017161449417E-13</v>
      </c>
      <c r="O18" s="8">
        <v>0</v>
      </c>
      <c r="P18" s="171">
        <v>1.2614153377825894</v>
      </c>
      <c r="Q18" s="8">
        <v>1.1542685446788026</v>
      </c>
      <c r="R18" s="8">
        <v>149.38842951243996</v>
      </c>
      <c r="S18" s="8">
        <v>88.620796747508805</v>
      </c>
      <c r="T18" s="8">
        <v>142.72519225244363</v>
      </c>
      <c r="U18" s="8">
        <v>83.593377839228708</v>
      </c>
      <c r="V18" s="171">
        <v>1388.965642809454</v>
      </c>
      <c r="W18" s="8">
        <v>162.58102969883689</v>
      </c>
      <c r="X18" s="8">
        <v>6305.0098773981363</v>
      </c>
      <c r="Y18" s="8">
        <v>3741.6898918906923</v>
      </c>
      <c r="AA18" s="171">
        <v>1019.7488219110534</v>
      </c>
      <c r="AB18" s="171">
        <v>487.83917851325947</v>
      </c>
      <c r="AC18" s="171">
        <v>1507.5880004243129</v>
      </c>
      <c r="AD18" s="171">
        <v>334.28996516097322</v>
      </c>
      <c r="AE18" s="171">
        <v>166.83908526442556</v>
      </c>
      <c r="AF18" s="171">
        <v>501.12905042539876</v>
      </c>
      <c r="AG18" s="176">
        <v>0.16173627666573445</v>
      </c>
      <c r="AH18" s="176">
        <v>0.14562459386788745</v>
      </c>
      <c r="AI18" s="8">
        <v>3.7009957009776334E-13</v>
      </c>
      <c r="AJ18" s="8">
        <v>2.9892657584819346E-13</v>
      </c>
      <c r="AK18" s="8">
        <v>3.694822225952521E-13</v>
      </c>
      <c r="AL18" s="8">
        <v>-2.9842794901924208E-13</v>
      </c>
      <c r="AM18" s="174">
        <v>1.054678565855252</v>
      </c>
      <c r="AN18" s="25">
        <v>0.94753177275146494</v>
      </c>
      <c r="AO18" s="8">
        <v>149.38842951243996</v>
      </c>
      <c r="AP18" s="8">
        <v>88.620796747508805</v>
      </c>
      <c r="AQ18" s="8">
        <v>142.72519225244363</v>
      </c>
      <c r="AR18" s="8">
        <v>83.593377839228708</v>
      </c>
      <c r="AS18" s="171">
        <v>1388.965642809454</v>
      </c>
      <c r="AT18" s="8">
        <v>99.312990135120756</v>
      </c>
      <c r="AU18" s="8">
        <v>6305.0098773981363</v>
      </c>
      <c r="AV18" s="8">
        <v>3741.6898918906923</v>
      </c>
      <c r="AX18" s="171">
        <v>982.26898315507049</v>
      </c>
      <c r="AY18" s="171">
        <v>448.87411020142565</v>
      </c>
      <c r="AZ18" s="171">
        <v>1431.1430933564961</v>
      </c>
      <c r="BA18" s="171">
        <v>324.79165231393341</v>
      </c>
      <c r="BB18" s="171">
        <v>127.87401695259172</v>
      </c>
      <c r="BC18" s="171">
        <v>452.66566926652513</v>
      </c>
      <c r="BD18" s="176">
        <v>0.15579182305110353</v>
      </c>
      <c r="BE18" s="176">
        <v>0.1339931536353948</v>
      </c>
      <c r="BF18" s="8">
        <v>4.2703796549741926E-14</v>
      </c>
      <c r="BG18" s="8">
        <v>4.6974176204716121E-13</v>
      </c>
      <c r="BH18" s="8">
        <v>0</v>
      </c>
      <c r="BI18" s="8">
        <v>4.6895820560166612E-13</v>
      </c>
      <c r="BJ18" s="174">
        <v>1.3974928174095123</v>
      </c>
      <c r="BK18" s="25">
        <v>1.2903460243057254</v>
      </c>
      <c r="BL18" s="8">
        <v>149.38842951243996</v>
      </c>
      <c r="BM18" s="8">
        <v>88.620796747508805</v>
      </c>
      <c r="BN18" s="8">
        <v>142.72519225244363</v>
      </c>
      <c r="BO18" s="8">
        <v>83.593377839228708</v>
      </c>
      <c r="BP18" s="171">
        <v>1394.1212782933751</v>
      </c>
      <c r="BQ18" s="8">
        <v>205.62894209034212</v>
      </c>
      <c r="BR18" s="8">
        <v>6305.0098773981363</v>
      </c>
      <c r="BS18" s="8">
        <v>3741.6898918906923</v>
      </c>
      <c r="BU18" s="171">
        <v>1002.8690730675399</v>
      </c>
      <c r="BV18" s="171">
        <v>468.44512013370547</v>
      </c>
      <c r="BW18" s="171">
        <v>1471.3141932012454</v>
      </c>
      <c r="BX18" s="171">
        <v>318.50098927482532</v>
      </c>
      <c r="BY18" s="171">
        <v>147.4450268848716</v>
      </c>
      <c r="BZ18" s="171">
        <v>465.94601615969691</v>
      </c>
      <c r="CA18" s="171">
        <v>0.15905908040883038</v>
      </c>
      <c r="CB18" s="171">
        <v>0.13983528460498681</v>
      </c>
      <c r="CC18" s="8">
        <v>2.8469197699827949E-13</v>
      </c>
      <c r="CD18" s="8">
        <v>2.1351898274870963E-13</v>
      </c>
      <c r="CE18" s="8">
        <v>-2.8421709430404007E-13</v>
      </c>
      <c r="CF18" s="8">
        <v>-2.1316282072803006E-13</v>
      </c>
      <c r="CG18" s="171">
        <v>1.0682688412188686</v>
      </c>
      <c r="CH18" s="8">
        <v>0.96112204811508173</v>
      </c>
      <c r="CI18" s="8">
        <v>149.38842951243996</v>
      </c>
      <c r="CJ18" s="8">
        <v>88.620796747508805</v>
      </c>
      <c r="CK18" s="8">
        <v>142.72519225244363</v>
      </c>
      <c r="CL18" s="8">
        <v>83.593377839228708</v>
      </c>
      <c r="CM18" s="171">
        <v>1404.3303885264365</v>
      </c>
      <c r="CN18" s="8">
        <v>106.85304000000001</v>
      </c>
      <c r="CO18" s="8">
        <v>6305.0098773981363</v>
      </c>
      <c r="CP18" s="8">
        <v>3741.6898918906923</v>
      </c>
    </row>
    <row r="19" spans="1:94" x14ac:dyDescent="0.2">
      <c r="A19" s="6" t="str">
        <f t="shared" si="0"/>
        <v>1- Preferred Resource Strategy&amp;2038</v>
      </c>
      <c r="B19" s="6" t="str">
        <f>'Scenario List'!$A$3</f>
        <v>1- Preferred Resource Strategy</v>
      </c>
      <c r="C19" s="6">
        <v>2038</v>
      </c>
      <c r="D19" s="171">
        <v>1043.9693643109156</v>
      </c>
      <c r="E19" s="171">
        <v>485.1635827989009</v>
      </c>
      <c r="F19" s="171">
        <v>1529.1329471098165</v>
      </c>
      <c r="G19" s="171">
        <v>343.09638447489067</v>
      </c>
      <c r="H19" s="171">
        <v>151.63328004882752</v>
      </c>
      <c r="I19" s="171">
        <v>494.72966452371816</v>
      </c>
      <c r="J19" s="171">
        <v>0.16401404755050472</v>
      </c>
      <c r="K19" s="171">
        <v>0.14340447837417186</v>
      </c>
      <c r="L19" s="8">
        <v>8.5407593099483852E-14</v>
      </c>
      <c r="M19" s="8">
        <v>8.5407593099483852E-13</v>
      </c>
      <c r="N19" s="8">
        <v>0</v>
      </c>
      <c r="O19" s="8">
        <v>-8.5265128291212022E-13</v>
      </c>
      <c r="P19" s="171">
        <v>1.2379466534543664</v>
      </c>
      <c r="Q19" s="8">
        <v>1.0971583165415668</v>
      </c>
      <c r="R19" s="8">
        <v>148.68559866500141</v>
      </c>
      <c r="S19" s="8">
        <v>88.620796747508805</v>
      </c>
      <c r="T19" s="8">
        <v>142.04537277033401</v>
      </c>
      <c r="U19" s="8">
        <v>83.593377839228708</v>
      </c>
      <c r="V19" s="171">
        <v>1388.2546091420024</v>
      </c>
      <c r="W19" s="8">
        <v>157.25818132471548</v>
      </c>
      <c r="X19" s="8">
        <v>6365.1216459946636</v>
      </c>
      <c r="Y19" s="8">
        <v>3774.353803650557</v>
      </c>
      <c r="AA19" s="171">
        <v>1055.8851462793946</v>
      </c>
      <c r="AB19" s="171">
        <v>505.20324016426093</v>
      </c>
      <c r="AC19" s="171">
        <v>1561.0883864436555</v>
      </c>
      <c r="AD19" s="171">
        <v>340.01638392871592</v>
      </c>
      <c r="AE19" s="171">
        <v>171.67293741418754</v>
      </c>
      <c r="AF19" s="171">
        <v>511.68932134290344</v>
      </c>
      <c r="AG19" s="176">
        <v>0.16588609063643334</v>
      </c>
      <c r="AH19" s="176">
        <v>0.14932779313472708</v>
      </c>
      <c r="AI19" s="8">
        <v>1.9928438389879564E-13</v>
      </c>
      <c r="AJ19" s="8">
        <v>5.5514935514664501E-13</v>
      </c>
      <c r="AK19" s="8">
        <v>1.9895196601282805E-13</v>
      </c>
      <c r="AL19" s="8">
        <v>5.5422333389287814E-13</v>
      </c>
      <c r="AM19" s="174">
        <v>1.0586459669864996</v>
      </c>
      <c r="AN19" s="25">
        <v>0.91785763007369991</v>
      </c>
      <c r="AO19" s="8">
        <v>148.68559866500141</v>
      </c>
      <c r="AP19" s="8">
        <v>88.620796747508805</v>
      </c>
      <c r="AQ19" s="8">
        <v>142.04537277033401</v>
      </c>
      <c r="AR19" s="8">
        <v>83.593377839228708</v>
      </c>
      <c r="AS19" s="171">
        <v>1392.4420831835469</v>
      </c>
      <c r="AT19" s="8">
        <v>98.142691372860071</v>
      </c>
      <c r="AU19" s="8">
        <v>6365.1216459946636</v>
      </c>
      <c r="AV19" s="8">
        <v>3774.353803650557</v>
      </c>
      <c r="AX19" s="171">
        <v>1016.7867779627497</v>
      </c>
      <c r="AY19" s="171">
        <v>464.58802277148754</v>
      </c>
      <c r="AZ19" s="171">
        <v>1481.3748007342374</v>
      </c>
      <c r="BA19" s="171">
        <v>325.06672398067263</v>
      </c>
      <c r="BB19" s="171">
        <v>131.05772002141418</v>
      </c>
      <c r="BC19" s="171">
        <v>456.12444400208682</v>
      </c>
      <c r="BD19" s="176">
        <v>0.15974349502064522</v>
      </c>
      <c r="BE19" s="176">
        <v>0.13732276169633392</v>
      </c>
      <c r="BF19" s="8">
        <v>5.1244555859690311E-13</v>
      </c>
      <c r="BG19" s="8">
        <v>2.9892657584819346E-13</v>
      </c>
      <c r="BH19" s="8">
        <v>5.1159076974727213E-13</v>
      </c>
      <c r="BI19" s="8">
        <v>2.9842794901924208E-13</v>
      </c>
      <c r="BJ19" s="174">
        <v>1.3497189784251744</v>
      </c>
      <c r="BK19" s="25">
        <v>1.2089306415123748</v>
      </c>
      <c r="BL19" s="8">
        <v>148.68559866500141</v>
      </c>
      <c r="BM19" s="8">
        <v>88.620796747508805</v>
      </c>
      <c r="BN19" s="8">
        <v>142.04537277033401</v>
      </c>
      <c r="BO19" s="8">
        <v>83.593377839228708</v>
      </c>
      <c r="BP19" s="171">
        <v>1387.0364034895333</v>
      </c>
      <c r="BQ19" s="8">
        <v>192.53743572433953</v>
      </c>
      <c r="BR19" s="8">
        <v>6365.1216459946636</v>
      </c>
      <c r="BS19" s="8">
        <v>3774.353803650557</v>
      </c>
      <c r="BU19" s="171">
        <v>1037.7052102051039</v>
      </c>
      <c r="BV19" s="171">
        <v>484.13546556802072</v>
      </c>
      <c r="BW19" s="171">
        <v>1521.8406757731245</v>
      </c>
      <c r="BX19" s="171">
        <v>321.4259741406978</v>
      </c>
      <c r="BY19" s="171">
        <v>150.6051628179473</v>
      </c>
      <c r="BZ19" s="171">
        <v>472.03113695864511</v>
      </c>
      <c r="CA19" s="171">
        <v>0.16302991017588697</v>
      </c>
      <c r="CB19" s="171">
        <v>0.14310058785058533</v>
      </c>
      <c r="CC19" s="8">
        <v>3.5586497124784937E-13</v>
      </c>
      <c r="CD19" s="8">
        <v>4.4127256434733322E-13</v>
      </c>
      <c r="CE19" s="8">
        <v>3.5527136788005009E-13</v>
      </c>
      <c r="CF19" s="8">
        <v>-4.4053649617126212E-13</v>
      </c>
      <c r="CG19" s="171">
        <v>1.0568860731710394</v>
      </c>
      <c r="CH19" s="8">
        <v>0.91609773625823976</v>
      </c>
      <c r="CI19" s="8">
        <v>148.68559866500141</v>
      </c>
      <c r="CJ19" s="8">
        <v>88.620796747508805</v>
      </c>
      <c r="CK19" s="8">
        <v>142.04537277033401</v>
      </c>
      <c r="CL19" s="8">
        <v>83.593377839228708</v>
      </c>
      <c r="CM19" s="171">
        <v>1391.0267072466322</v>
      </c>
      <c r="CN19" s="8">
        <v>103.96512000000001</v>
      </c>
      <c r="CO19" s="8">
        <v>6365.1216459946636</v>
      </c>
      <c r="CP19" s="8">
        <v>3774.353803650557</v>
      </c>
    </row>
    <row r="20" spans="1:94" x14ac:dyDescent="0.2">
      <c r="A20" s="6" t="str">
        <f t="shared" si="0"/>
        <v>1- Preferred Resource Strategy&amp;2039</v>
      </c>
      <c r="B20" s="6" t="str">
        <f>'Scenario List'!$A$3</f>
        <v>1- Preferred Resource Strategy</v>
      </c>
      <c r="C20" s="6">
        <v>2039</v>
      </c>
      <c r="D20" s="171">
        <v>1096.9925470719811</v>
      </c>
      <c r="E20" s="171">
        <v>504.96723738560559</v>
      </c>
      <c r="F20" s="171">
        <v>1601.9597844575867</v>
      </c>
      <c r="G20" s="171">
        <v>365.50012676024789</v>
      </c>
      <c r="H20" s="171">
        <v>158.48299061299616</v>
      </c>
      <c r="I20" s="171">
        <v>523.98311737324411</v>
      </c>
      <c r="J20" s="171">
        <v>0.17064607491666678</v>
      </c>
      <c r="K20" s="171">
        <v>0.1477844115624177</v>
      </c>
      <c r="L20" s="8">
        <v>5.5514935514664501E-13</v>
      </c>
      <c r="M20" s="8">
        <v>4.4127256434733322E-13</v>
      </c>
      <c r="N20" s="8">
        <v>-5.5422333389287814E-13</v>
      </c>
      <c r="O20" s="8">
        <v>-4.4053649617126212E-13</v>
      </c>
      <c r="P20" s="171">
        <v>1.3094039569275169</v>
      </c>
      <c r="Q20" s="8">
        <v>1.0720580780270386</v>
      </c>
      <c r="R20" s="8">
        <v>198.96240969022909</v>
      </c>
      <c r="S20" s="8">
        <v>88.620796747508805</v>
      </c>
      <c r="T20" s="8">
        <v>192.35942544825997</v>
      </c>
      <c r="U20" s="8">
        <v>83.593377839228708</v>
      </c>
      <c r="V20" s="171">
        <v>1125.5450736504199</v>
      </c>
      <c r="W20" s="8">
        <v>155.07533498014226</v>
      </c>
      <c r="X20" s="8">
        <v>6428.4663307239025</v>
      </c>
      <c r="Y20" s="8">
        <v>3808.6604994833697</v>
      </c>
      <c r="AA20" s="171">
        <v>1111.1767336116236</v>
      </c>
      <c r="AB20" s="171">
        <v>527.05035000342218</v>
      </c>
      <c r="AC20" s="171">
        <v>1638.2270836150458</v>
      </c>
      <c r="AD20" s="171">
        <v>360.97818521685758</v>
      </c>
      <c r="AE20" s="171">
        <v>180.56610323081279</v>
      </c>
      <c r="AF20" s="171">
        <v>541.5442884476704</v>
      </c>
      <c r="AG20" s="176">
        <v>0.17285254000645831</v>
      </c>
      <c r="AH20" s="176">
        <v>0.15424728590766656</v>
      </c>
      <c r="AI20" s="8">
        <v>1.4234598849913974E-13</v>
      </c>
      <c r="AJ20" s="8">
        <v>1.708151861989677E-13</v>
      </c>
      <c r="AK20" s="8">
        <v>0</v>
      </c>
      <c r="AL20" s="8">
        <v>0</v>
      </c>
      <c r="AM20" s="174">
        <v>1.098382982382534</v>
      </c>
      <c r="AN20" s="25">
        <v>0.86103710348205564</v>
      </c>
      <c r="AO20" s="8">
        <v>198.96240969022909</v>
      </c>
      <c r="AP20" s="8">
        <v>88.620796747508805</v>
      </c>
      <c r="AQ20" s="8">
        <v>192.35942544825997</v>
      </c>
      <c r="AR20" s="8">
        <v>83.593377839228708</v>
      </c>
      <c r="AS20" s="171">
        <v>1120.9855368918127</v>
      </c>
      <c r="AT20" s="8">
        <v>95.225086981658919</v>
      </c>
      <c r="AU20" s="8">
        <v>6428.4663307239025</v>
      </c>
      <c r="AV20" s="8">
        <v>3808.6604994833697</v>
      </c>
      <c r="AX20" s="171">
        <v>1073.4612994150311</v>
      </c>
      <c r="AY20" s="171">
        <v>485.29348010116991</v>
      </c>
      <c r="AZ20" s="171">
        <v>1558.7547795162011</v>
      </c>
      <c r="BA20" s="171">
        <v>351.75183992073579</v>
      </c>
      <c r="BB20" s="171">
        <v>138.80923332856048</v>
      </c>
      <c r="BC20" s="171">
        <v>490.56107324929627</v>
      </c>
      <c r="BD20" s="176">
        <v>0.16698559877098243</v>
      </c>
      <c r="BE20" s="176">
        <v>0.14202666248832888</v>
      </c>
      <c r="BF20" s="8">
        <v>5.8361855284647294E-13</v>
      </c>
      <c r="BG20" s="8">
        <v>1.4234598849913974E-13</v>
      </c>
      <c r="BH20" s="8">
        <v>5.8264504332328215E-13</v>
      </c>
      <c r="BI20" s="8">
        <v>1.4210854715202004E-13</v>
      </c>
      <c r="BJ20" s="174">
        <v>1.4265029824983673</v>
      </c>
      <c r="BK20" s="25">
        <v>1.189157103597889</v>
      </c>
      <c r="BL20" s="8">
        <v>198.96240969022909</v>
      </c>
      <c r="BM20" s="8">
        <v>88.620796747508805</v>
      </c>
      <c r="BN20" s="8">
        <v>192.35942544825997</v>
      </c>
      <c r="BO20" s="8">
        <v>83.593377839228708</v>
      </c>
      <c r="BP20" s="171">
        <v>1115.9087369146418</v>
      </c>
      <c r="BQ20" s="8">
        <v>193.68484517075296</v>
      </c>
      <c r="BR20" s="8">
        <v>6428.4663307239025</v>
      </c>
      <c r="BS20" s="8">
        <v>3808.6604994833697</v>
      </c>
      <c r="BU20" s="171">
        <v>1093.9023998778755</v>
      </c>
      <c r="BV20" s="171">
        <v>505.97862478952845</v>
      </c>
      <c r="BW20" s="171">
        <v>1599.8810246674038</v>
      </c>
      <c r="BX20" s="171">
        <v>346.1168279247251</v>
      </c>
      <c r="BY20" s="171">
        <v>159.494378016919</v>
      </c>
      <c r="BZ20" s="171">
        <v>505.61120594164413</v>
      </c>
      <c r="CA20" s="171">
        <v>0.17016537749443145</v>
      </c>
      <c r="CB20" s="171">
        <v>0.14808040560180177</v>
      </c>
      <c r="CC20" s="8">
        <v>2.5622277929845155E-13</v>
      </c>
      <c r="CD20" s="8">
        <v>1.5658058734905374E-13</v>
      </c>
      <c r="CE20" s="8">
        <v>-2.5579538487363607E-13</v>
      </c>
      <c r="CF20" s="8">
        <v>1.5631940186722204E-13</v>
      </c>
      <c r="CG20" s="171">
        <v>1.1250652206880454</v>
      </c>
      <c r="CH20" s="8">
        <v>0.88771934178756706</v>
      </c>
      <c r="CI20" s="8">
        <v>198.96240969022909</v>
      </c>
      <c r="CJ20" s="8">
        <v>88.620796747508805</v>
      </c>
      <c r="CK20" s="8">
        <v>192.35942544825997</v>
      </c>
      <c r="CL20" s="8">
        <v>83.593377839228708</v>
      </c>
      <c r="CM20" s="171">
        <v>1705.1027453319393</v>
      </c>
      <c r="CN20" s="8">
        <v>103.51388250000001</v>
      </c>
      <c r="CO20" s="8">
        <v>6428.4663307239025</v>
      </c>
      <c r="CP20" s="8">
        <v>3808.6604994833697</v>
      </c>
    </row>
    <row r="21" spans="1:94" x14ac:dyDescent="0.2">
      <c r="A21" s="6" t="str">
        <f t="shared" si="0"/>
        <v>1- Preferred Resource Strategy&amp;2040</v>
      </c>
      <c r="B21" s="6" t="str">
        <f>'Scenario List'!$A$3</f>
        <v>1- Preferred Resource Strategy</v>
      </c>
      <c r="C21" s="6">
        <v>2040</v>
      </c>
      <c r="D21" s="171">
        <v>1126.9034839011033</v>
      </c>
      <c r="E21" s="171">
        <v>519.25069821786451</v>
      </c>
      <c r="F21" s="171">
        <v>1646.1541821189678</v>
      </c>
      <c r="G21" s="171">
        <v>365.013649808747</v>
      </c>
      <c r="H21" s="171">
        <v>159.34569040670596</v>
      </c>
      <c r="I21" s="171">
        <v>524.3593402154529</v>
      </c>
      <c r="J21" s="171">
        <v>0.17339974633439506</v>
      </c>
      <c r="K21" s="171">
        <v>0.15042875265516523</v>
      </c>
      <c r="L21" s="8">
        <v>6.4055694824612891E-13</v>
      </c>
      <c r="M21" s="8">
        <v>7.2596454134561271E-13</v>
      </c>
      <c r="N21" s="8">
        <v>-6.3948846218409017E-13</v>
      </c>
      <c r="O21" s="8">
        <v>-7.2475359047530219E-13</v>
      </c>
      <c r="P21" s="171">
        <v>1.3489302138749308</v>
      </c>
      <c r="Q21" s="8">
        <v>1.06434787019104</v>
      </c>
      <c r="R21" s="8">
        <v>198.16739340005637</v>
      </c>
      <c r="S21" s="8">
        <v>88.620796747508805</v>
      </c>
      <c r="T21" s="8">
        <v>191.61008213238773</v>
      </c>
      <c r="U21" s="8">
        <v>83.607113956464431</v>
      </c>
      <c r="V21" s="171">
        <v>1122.4534242848988</v>
      </c>
      <c r="W21" s="8">
        <v>165.07338230685704</v>
      </c>
      <c r="X21" s="8">
        <v>6498.8761963233283</v>
      </c>
      <c r="Y21" s="8">
        <v>3844.8727782553551</v>
      </c>
      <c r="AA21" s="171">
        <v>1137.4655492273766</v>
      </c>
      <c r="AB21" s="171">
        <v>539.61583386062034</v>
      </c>
      <c r="AC21" s="171">
        <v>1677.081383087997</v>
      </c>
      <c r="AD21" s="171">
        <v>359.89624337709495</v>
      </c>
      <c r="AE21" s="171">
        <v>179.71082604946187</v>
      </c>
      <c r="AF21" s="171">
        <v>539.60706942655679</v>
      </c>
      <c r="AG21" s="176">
        <v>0.17502496044945218</v>
      </c>
      <c r="AH21" s="176">
        <v>0.15632860404276538</v>
      </c>
      <c r="AI21" s="8">
        <v>7.6866833789535461E-13</v>
      </c>
      <c r="AJ21" s="8">
        <v>5.6938395399655905E-14</v>
      </c>
      <c r="AK21" s="8">
        <v>7.673861546209082E-13</v>
      </c>
      <c r="AL21" s="8">
        <v>0</v>
      </c>
      <c r="AM21" s="174">
        <v>1.1728231433040996</v>
      </c>
      <c r="AN21" s="25">
        <v>0.88824079962020874</v>
      </c>
      <c r="AO21" s="8">
        <v>198.16739340005637</v>
      </c>
      <c r="AP21" s="8">
        <v>88.620796747508805</v>
      </c>
      <c r="AQ21" s="8">
        <v>191.61008213238773</v>
      </c>
      <c r="AR21" s="8">
        <v>83.607113956464431</v>
      </c>
      <c r="AS21" s="171">
        <v>1121.5726483847616</v>
      </c>
      <c r="AT21" s="8">
        <v>108.25272280228627</v>
      </c>
      <c r="AU21" s="8">
        <v>6498.8761963233283</v>
      </c>
      <c r="AV21" s="8">
        <v>3844.8727782553551</v>
      </c>
      <c r="AX21" s="171">
        <v>1104.3202054984665</v>
      </c>
      <c r="AY21" s="171">
        <v>499.66111857456156</v>
      </c>
      <c r="AZ21" s="171">
        <v>1603.9813240730282</v>
      </c>
      <c r="BA21" s="171">
        <v>352.98325982532316</v>
      </c>
      <c r="BB21" s="171">
        <v>139.75611076340303</v>
      </c>
      <c r="BC21" s="171">
        <v>492.73937058872616</v>
      </c>
      <c r="BD21" s="176">
        <v>0.16992479501659444</v>
      </c>
      <c r="BE21" s="176">
        <v>0.14475358256700743</v>
      </c>
      <c r="BF21" s="8">
        <v>2.2775358159862362E-13</v>
      </c>
      <c r="BG21" s="8">
        <v>4.6974176204716121E-13</v>
      </c>
      <c r="BH21" s="8">
        <v>-2.2737367544323206E-13</v>
      </c>
      <c r="BI21" s="8">
        <v>4.6895820560166612E-13</v>
      </c>
      <c r="BJ21" s="174">
        <v>1.4684384235940164</v>
      </c>
      <c r="BK21" s="25">
        <v>1.1838560799101256</v>
      </c>
      <c r="BL21" s="8">
        <v>198.16739340005637</v>
      </c>
      <c r="BM21" s="8">
        <v>88.620796747508805</v>
      </c>
      <c r="BN21" s="8">
        <v>191.61008213238773</v>
      </c>
      <c r="BO21" s="8">
        <v>83.607113956464431</v>
      </c>
      <c r="BP21" s="171">
        <v>1115.6342001623643</v>
      </c>
      <c r="BQ21" s="8">
        <v>202.24644698304181</v>
      </c>
      <c r="BR21" s="8">
        <v>6498.8761963233283</v>
      </c>
      <c r="BS21" s="8">
        <v>3844.8727782553551</v>
      </c>
      <c r="BU21" s="171">
        <v>1123.9931483170353</v>
      </c>
      <c r="BV21" s="171">
        <v>520.23808911382116</v>
      </c>
      <c r="BW21" s="171">
        <v>1644.2312374308565</v>
      </c>
      <c r="BX21" s="171">
        <v>346.29330214548065</v>
      </c>
      <c r="BY21" s="171">
        <v>160.33308130266261</v>
      </c>
      <c r="BZ21" s="171">
        <v>506.62638344814326</v>
      </c>
      <c r="CA21" s="171">
        <v>0.17295192497326273</v>
      </c>
      <c r="CB21" s="171">
        <v>0.15071480326881218</v>
      </c>
      <c r="CC21" s="8">
        <v>3.8433416894767731E-13</v>
      </c>
      <c r="CD21" s="8">
        <v>6.2632234939621495E-13</v>
      </c>
      <c r="CE21" s="8">
        <v>3.836930773104541E-13</v>
      </c>
      <c r="CF21" s="8">
        <v>6.2527760746888816E-13</v>
      </c>
      <c r="CG21" s="171">
        <v>1.1725254310365671</v>
      </c>
      <c r="CH21" s="8">
        <v>0.88794308735267624</v>
      </c>
      <c r="CI21" s="8">
        <v>198.16739340005637</v>
      </c>
      <c r="CJ21" s="8">
        <v>88.620796747508805</v>
      </c>
      <c r="CK21" s="8">
        <v>191.61008213238773</v>
      </c>
      <c r="CL21" s="8">
        <v>83.607113956464431</v>
      </c>
      <c r="CM21" s="171">
        <v>1711.1266260390976</v>
      </c>
      <c r="CN21" s="8">
        <v>110.10195000000002</v>
      </c>
      <c r="CO21" s="8">
        <v>6498.8761963233283</v>
      </c>
      <c r="CP21" s="8">
        <v>3844.8727782553551</v>
      </c>
    </row>
    <row r="22" spans="1:94" x14ac:dyDescent="0.2">
      <c r="A22" s="6" t="str">
        <f t="shared" si="0"/>
        <v>1- Preferred Resource Strategy&amp;2041</v>
      </c>
      <c r="B22" s="6" t="str">
        <f>'Scenario List'!$A$3</f>
        <v>1- Preferred Resource Strategy</v>
      </c>
      <c r="C22" s="6">
        <v>2041</v>
      </c>
      <c r="D22" s="171">
        <v>1177.0730201219594</v>
      </c>
      <c r="E22" s="171">
        <v>531.54794446871847</v>
      </c>
      <c r="F22" s="171">
        <v>1708.6209645906779</v>
      </c>
      <c r="G22" s="171">
        <v>377.67933148153475</v>
      </c>
      <c r="H22" s="171">
        <v>157.7714753761984</v>
      </c>
      <c r="I22" s="171">
        <v>535.45080685773314</v>
      </c>
      <c r="J22" s="171">
        <v>0.17923721440832077</v>
      </c>
      <c r="K22" s="171">
        <v>0.15221170492968933</v>
      </c>
      <c r="L22" s="8">
        <v>1.4234598849913976E-14</v>
      </c>
      <c r="M22" s="8">
        <v>4.9821095974698914E-13</v>
      </c>
      <c r="N22" s="8">
        <v>0</v>
      </c>
      <c r="O22" s="8">
        <v>-4.9737991503207013E-13</v>
      </c>
      <c r="P22" s="171">
        <v>1.1581201743256575</v>
      </c>
      <c r="Q22" s="8">
        <v>1.0637915642297973</v>
      </c>
      <c r="R22" s="8">
        <v>292.06203139183754</v>
      </c>
      <c r="S22" s="8">
        <v>133.8398530475088</v>
      </c>
      <c r="T22" s="8">
        <v>282.75397251968269</v>
      </c>
      <c r="U22" s="8">
        <v>128.81243413922869</v>
      </c>
      <c r="V22" s="171">
        <v>1518.4612451779135</v>
      </c>
      <c r="W22" s="8">
        <v>278.19893620051909</v>
      </c>
      <c r="X22" s="8">
        <v>6567.1240428924893</v>
      </c>
      <c r="Y22" s="8">
        <v>3884.1001915663046</v>
      </c>
      <c r="AA22" s="171">
        <v>1188.8051398116395</v>
      </c>
      <c r="AB22" s="171">
        <v>558.00508144780588</v>
      </c>
      <c r="AC22" s="171">
        <v>1746.8102212594454</v>
      </c>
      <c r="AD22" s="171">
        <v>372.68624471163668</v>
      </c>
      <c r="AE22" s="171">
        <v>184.22861235528583</v>
      </c>
      <c r="AF22" s="171">
        <v>556.91485706692254</v>
      </c>
      <c r="AG22" s="176">
        <v>0.18102370718857785</v>
      </c>
      <c r="AH22" s="176">
        <v>0.15978785298754758</v>
      </c>
      <c r="AI22" s="8">
        <v>1.4234598849913974E-13</v>
      </c>
      <c r="AJ22" s="8">
        <v>6.5479154709604278E-13</v>
      </c>
      <c r="AK22" s="8">
        <v>1.4210854715202004E-13</v>
      </c>
      <c r="AL22" s="8">
        <v>6.5369931689929217E-13</v>
      </c>
      <c r="AM22" s="174">
        <v>0.96381587375461253</v>
      </c>
      <c r="AN22" s="25">
        <v>0.86948726365875229</v>
      </c>
      <c r="AO22" s="8">
        <v>292.06203139183754</v>
      </c>
      <c r="AP22" s="8">
        <v>133.8398530475088</v>
      </c>
      <c r="AQ22" s="8">
        <v>282.75397251968269</v>
      </c>
      <c r="AR22" s="8">
        <v>128.81243413922869</v>
      </c>
      <c r="AS22" s="171">
        <v>1520.1027181694828</v>
      </c>
      <c r="AT22" s="8">
        <v>191.28273985355401</v>
      </c>
      <c r="AU22" s="8">
        <v>6567.1240428924893</v>
      </c>
      <c r="AV22" s="8">
        <v>3884.1001915663046</v>
      </c>
      <c r="AX22" s="171">
        <v>1152.3864177582884</v>
      </c>
      <c r="AY22" s="171">
        <v>508.77965967790033</v>
      </c>
      <c r="AZ22" s="171">
        <v>1661.1660774361887</v>
      </c>
      <c r="BA22" s="171">
        <v>364.77560885479704</v>
      </c>
      <c r="BB22" s="171">
        <v>135.00319058538025</v>
      </c>
      <c r="BC22" s="171">
        <v>499.77879944017729</v>
      </c>
      <c r="BD22" s="176">
        <v>0.17547809516488436</v>
      </c>
      <c r="BE22" s="176">
        <v>0.14569188017559492</v>
      </c>
      <c r="BF22" s="8">
        <v>2.2775358159862362E-13</v>
      </c>
      <c r="BG22" s="8">
        <v>4.2703796549741926E-14</v>
      </c>
      <c r="BH22" s="8">
        <v>2.2737367544323206E-13</v>
      </c>
      <c r="BI22" s="8">
        <v>0</v>
      </c>
      <c r="BJ22" s="174">
        <v>1.2884678566518297</v>
      </c>
      <c r="BK22" s="25">
        <v>1.1941392465559695</v>
      </c>
      <c r="BL22" s="8">
        <v>292.06203139183754</v>
      </c>
      <c r="BM22" s="8">
        <v>133.8398530475088</v>
      </c>
      <c r="BN22" s="8">
        <v>282.75397251968269</v>
      </c>
      <c r="BO22" s="8">
        <v>128.81243413922869</v>
      </c>
      <c r="BP22" s="171">
        <v>1521.1802051330476</v>
      </c>
      <c r="BQ22" s="8">
        <v>322.27718148985571</v>
      </c>
      <c r="BR22" s="8">
        <v>6567.1240428924893</v>
      </c>
      <c r="BS22" s="8">
        <v>3884.1001915663046</v>
      </c>
      <c r="BU22" s="171">
        <v>1179.0931491737445</v>
      </c>
      <c r="BV22" s="171">
        <v>535.83742914272977</v>
      </c>
      <c r="BW22" s="171">
        <v>1714.9305783164741</v>
      </c>
      <c r="BX22" s="171">
        <v>361.6443170231762</v>
      </c>
      <c r="BY22" s="171">
        <v>162.0609600502097</v>
      </c>
      <c r="BZ22" s="171">
        <v>523.7052770733859</v>
      </c>
      <c r="CA22" s="171">
        <v>0.17954482684849865</v>
      </c>
      <c r="CB22" s="171">
        <v>0.15344002268031787</v>
      </c>
      <c r="CC22" s="8">
        <v>3.8433416894767731E-13</v>
      </c>
      <c r="CD22" s="8">
        <v>5.4091475629673104E-13</v>
      </c>
      <c r="CE22" s="8">
        <v>-3.836930773104541E-13</v>
      </c>
      <c r="CF22" s="8">
        <v>-5.4001247917767614E-13</v>
      </c>
      <c r="CG22" s="171">
        <v>0.94925513905667569</v>
      </c>
      <c r="CH22" s="8">
        <v>0.85492652896081545</v>
      </c>
      <c r="CI22" s="8">
        <v>292.06203139183754</v>
      </c>
      <c r="CJ22" s="8">
        <v>133.8398530475088</v>
      </c>
      <c r="CK22" s="8">
        <v>282.75397251968269</v>
      </c>
      <c r="CL22" s="8">
        <v>128.81243413922869</v>
      </c>
      <c r="CM22" s="171">
        <v>2093.4594447649479</v>
      </c>
      <c r="CN22" s="8">
        <v>185.1042065</v>
      </c>
      <c r="CO22" s="8">
        <v>6567.1240428924893</v>
      </c>
      <c r="CP22" s="8">
        <v>3884.1001915663046</v>
      </c>
    </row>
    <row r="23" spans="1:94" x14ac:dyDescent="0.2">
      <c r="A23" s="6" t="str">
        <f t="shared" si="0"/>
        <v>1- Preferred Resource Strategy&amp;2042</v>
      </c>
      <c r="B23" s="6" t="str">
        <f>'Scenario List'!$A$3</f>
        <v>1- Preferred Resource Strategy</v>
      </c>
      <c r="C23" s="6">
        <v>2042</v>
      </c>
      <c r="D23" s="171">
        <v>1267.4789061563717</v>
      </c>
      <c r="E23" s="171">
        <v>564.31863106203832</v>
      </c>
      <c r="F23" s="171">
        <v>1831.7975372184101</v>
      </c>
      <c r="G23" s="171">
        <v>390.33780790389079</v>
      </c>
      <c r="H23" s="171">
        <v>175.93059807397748</v>
      </c>
      <c r="I23" s="171">
        <v>566.26840597786827</v>
      </c>
      <c r="J23" s="171">
        <v>0.19078139714141495</v>
      </c>
      <c r="K23" s="171">
        <v>0.15967971727148847</v>
      </c>
      <c r="L23" s="8">
        <v>2.7045737814836552E-13</v>
      </c>
      <c r="M23" s="8">
        <v>1.2811138964922578E-13</v>
      </c>
      <c r="N23" s="8">
        <v>-2.7000623958883807E-13</v>
      </c>
      <c r="O23" s="8">
        <v>-1.2789769243681803E-13</v>
      </c>
      <c r="P23" s="171">
        <v>0.84690342363349547</v>
      </c>
      <c r="Q23" s="8">
        <v>0.81279667175842496</v>
      </c>
      <c r="R23" s="8">
        <v>482.20883252213736</v>
      </c>
      <c r="S23" s="8">
        <v>233.70989008188457</v>
      </c>
      <c r="T23" s="8">
        <v>464.59596904390281</v>
      </c>
      <c r="U23" s="8">
        <v>223.01688780057557</v>
      </c>
      <c r="V23" s="171">
        <v>1826.9438594307771</v>
      </c>
      <c r="W23" s="8">
        <v>482.50341688485628</v>
      </c>
      <c r="X23" s="8">
        <v>6643.6189541942849</v>
      </c>
      <c r="Y23" s="8">
        <v>3925.6346422238694</v>
      </c>
      <c r="AA23" s="171">
        <v>1276.2111953169556</v>
      </c>
      <c r="AB23" s="171">
        <v>594.20284234333485</v>
      </c>
      <c r="AC23" s="171">
        <v>1870.4140376602904</v>
      </c>
      <c r="AD23" s="171">
        <v>385.87647986271293</v>
      </c>
      <c r="AE23" s="171">
        <v>205.81480935527406</v>
      </c>
      <c r="AF23" s="171">
        <v>591.69128921798699</v>
      </c>
      <c r="AG23" s="176">
        <v>0.19209578455899418</v>
      </c>
      <c r="AH23" s="176">
        <v>0.16813575991409663</v>
      </c>
      <c r="AI23" s="8">
        <v>1.9928438389879564E-13</v>
      </c>
      <c r="AJ23" s="8">
        <v>5.9785315169638691E-13</v>
      </c>
      <c r="AK23" s="8">
        <v>-1.9895196601282805E-13</v>
      </c>
      <c r="AL23" s="8">
        <v>5.9685589803848416E-13</v>
      </c>
      <c r="AM23" s="174">
        <v>0.63570508426597161</v>
      </c>
      <c r="AN23" s="25">
        <v>0.6015983323909011</v>
      </c>
      <c r="AO23" s="8">
        <v>482.20883252213736</v>
      </c>
      <c r="AP23" s="8">
        <v>233.70989008188457</v>
      </c>
      <c r="AQ23" s="8">
        <v>464.59596904390281</v>
      </c>
      <c r="AR23" s="8">
        <v>223.01688780057557</v>
      </c>
      <c r="AS23" s="171">
        <v>1841.8236246795868</v>
      </c>
      <c r="AT23" s="8">
        <v>304.17952462207217</v>
      </c>
      <c r="AU23" s="8">
        <v>6643.6189541942849</v>
      </c>
      <c r="AV23" s="8">
        <v>3925.6346422238694</v>
      </c>
      <c r="AX23" s="171">
        <v>1246.695641794375</v>
      </c>
      <c r="AY23" s="171">
        <v>539.86220294070722</v>
      </c>
      <c r="AZ23" s="171">
        <v>1786.5578447350822</v>
      </c>
      <c r="BA23" s="171">
        <v>377.96595282710922</v>
      </c>
      <c r="BB23" s="171">
        <v>151.47416995264635</v>
      </c>
      <c r="BC23" s="171">
        <v>529.4401227797556</v>
      </c>
      <c r="BD23" s="176">
        <v>0.18765309244704717</v>
      </c>
      <c r="BE23" s="176">
        <v>0.15275952128126374</v>
      </c>
      <c r="BF23" s="8">
        <v>4.9821095974698909E-14</v>
      </c>
      <c r="BG23" s="8">
        <v>1.9928438389879564E-13</v>
      </c>
      <c r="BH23" s="8">
        <v>0</v>
      </c>
      <c r="BI23" s="8">
        <v>-1.9895196601282805E-13</v>
      </c>
      <c r="BJ23" s="174">
        <v>0.96239141924575311</v>
      </c>
      <c r="BK23" s="25">
        <v>0.9282846673706826</v>
      </c>
      <c r="BL23" s="8">
        <v>482.20883252213736</v>
      </c>
      <c r="BM23" s="8">
        <v>233.70989008188457</v>
      </c>
      <c r="BN23" s="8">
        <v>464.59596904390281</v>
      </c>
      <c r="BO23" s="8">
        <v>223.01688780057557</v>
      </c>
      <c r="BP23" s="171">
        <v>1828.1524474465807</v>
      </c>
      <c r="BQ23" s="8">
        <v>556.09823220004932</v>
      </c>
      <c r="BR23" s="8">
        <v>6643.6189541942849</v>
      </c>
      <c r="BS23" s="8">
        <v>3925.6346422238694</v>
      </c>
      <c r="BU23" s="171">
        <v>1261.9595713789756</v>
      </c>
      <c r="BV23" s="171">
        <v>566.53375989169967</v>
      </c>
      <c r="BW23" s="171">
        <v>1828.4933312706753</v>
      </c>
      <c r="BX23" s="171">
        <v>374.98911840279419</v>
      </c>
      <c r="BY23" s="171">
        <v>178.14572690363886</v>
      </c>
      <c r="BZ23" s="171">
        <v>553.13484530643302</v>
      </c>
      <c r="CA23" s="171">
        <v>0.18995062481454758</v>
      </c>
      <c r="CB23" s="171">
        <v>0.16030651058606427</v>
      </c>
      <c r="CC23" s="8">
        <v>4.6974176204716121E-13</v>
      </c>
      <c r="CD23" s="8">
        <v>1.2811138964922578E-13</v>
      </c>
      <c r="CE23" s="8">
        <v>4.6895820560166612E-13</v>
      </c>
      <c r="CF23" s="8">
        <v>1.2789769243681803E-13</v>
      </c>
      <c r="CG23" s="171">
        <v>0.66898680394353627</v>
      </c>
      <c r="CH23" s="8">
        <v>0.63488005206846576</v>
      </c>
      <c r="CI23" s="8">
        <v>482.20883252213736</v>
      </c>
      <c r="CJ23" s="8">
        <v>233.70989008188457</v>
      </c>
      <c r="CK23" s="8">
        <v>464.59596904390281</v>
      </c>
      <c r="CL23" s="8">
        <v>223.01688780057557</v>
      </c>
      <c r="CM23" s="171">
        <v>2449.0919297636633</v>
      </c>
      <c r="CN23" s="8">
        <v>316.33886698885198</v>
      </c>
      <c r="CO23" s="8">
        <v>6643.6189541942849</v>
      </c>
      <c r="CP23" s="8">
        <v>3925.6346422238694</v>
      </c>
    </row>
    <row r="24" spans="1:94" x14ac:dyDescent="0.2">
      <c r="A24" s="6" t="str">
        <f t="shared" si="0"/>
        <v>1- Preferred Resource Strategy&amp;2043</v>
      </c>
      <c r="B24" s="6" t="str">
        <f>'Scenario List'!$A$3</f>
        <v>1- Preferred Resource Strategy</v>
      </c>
      <c r="C24" s="6">
        <v>2043</v>
      </c>
      <c r="D24" s="171">
        <v>1331.3719727811267</v>
      </c>
      <c r="E24" s="171">
        <v>593.30938551187955</v>
      </c>
      <c r="F24" s="171">
        <v>1924.6813582930063</v>
      </c>
      <c r="G24" s="171">
        <v>422.09629135885609</v>
      </c>
      <c r="H24" s="171">
        <v>189.95061708551054</v>
      </c>
      <c r="I24" s="171">
        <v>612.04690844436664</v>
      </c>
      <c r="J24" s="171">
        <v>0.19794976135530765</v>
      </c>
      <c r="K24" s="171">
        <v>0.16580677064133589</v>
      </c>
      <c r="L24" s="8">
        <v>2.5622277929845155E-13</v>
      </c>
      <c r="M24" s="8">
        <v>4.6974176204716121E-13</v>
      </c>
      <c r="N24" s="8">
        <v>2.5579538487363607E-13</v>
      </c>
      <c r="O24" s="8">
        <v>4.6895820560166612E-13</v>
      </c>
      <c r="P24" s="171">
        <v>0.93667984243456781</v>
      </c>
      <c r="Q24" s="8">
        <v>0.82031003322738849</v>
      </c>
      <c r="R24" s="8">
        <v>523.90602427057024</v>
      </c>
      <c r="S24" s="8">
        <v>257.32328173556937</v>
      </c>
      <c r="T24" s="8">
        <v>506.27268762368726</v>
      </c>
      <c r="U24" s="8">
        <v>246.63027945426043</v>
      </c>
      <c r="V24" s="171">
        <v>1607.1348051982943</v>
      </c>
      <c r="W24" s="8">
        <v>347.64465127521419</v>
      </c>
      <c r="X24" s="8">
        <v>6725.8074153037041</v>
      </c>
      <c r="Y24" s="8">
        <v>3969.9415138161808</v>
      </c>
      <c r="AA24" s="171">
        <v>1344.662454234511</v>
      </c>
      <c r="AB24" s="171">
        <v>626.1758073884647</v>
      </c>
      <c r="AC24" s="171">
        <v>1970.8382616229756</v>
      </c>
      <c r="AD24" s="171">
        <v>419.64455444968615</v>
      </c>
      <c r="AE24" s="171">
        <v>222.81703896209561</v>
      </c>
      <c r="AF24" s="171">
        <v>642.46159341178179</v>
      </c>
      <c r="AG24" s="176">
        <v>0.19992580387819395</v>
      </c>
      <c r="AH24" s="176">
        <v>0.17499165024540753</v>
      </c>
      <c r="AI24" s="8">
        <v>1.5658058734905374E-13</v>
      </c>
      <c r="AJ24" s="8">
        <v>4.8397636089707518E-13</v>
      </c>
      <c r="AK24" s="8">
        <v>1.5631940186722204E-13</v>
      </c>
      <c r="AL24" s="8">
        <v>4.8316906031686813E-13</v>
      </c>
      <c r="AM24" s="174">
        <v>0.70840340974467131</v>
      </c>
      <c r="AN24" s="25">
        <v>0.59203360053749199</v>
      </c>
      <c r="AO24" s="8">
        <v>523.90602427057024</v>
      </c>
      <c r="AP24" s="8">
        <v>257.32328173556937</v>
      </c>
      <c r="AQ24" s="8">
        <v>506.27268762368726</v>
      </c>
      <c r="AR24" s="8">
        <v>246.63027945426043</v>
      </c>
      <c r="AS24" s="171">
        <v>1660.6923716228009</v>
      </c>
      <c r="AT24" s="8">
        <v>170.4796949190137</v>
      </c>
      <c r="AU24" s="8">
        <v>6725.8074153037041</v>
      </c>
      <c r="AV24" s="8">
        <v>3969.9415138161808</v>
      </c>
      <c r="AX24" s="171">
        <v>1305.5827112603204</v>
      </c>
      <c r="AY24" s="171">
        <v>565.52194882735694</v>
      </c>
      <c r="AZ24" s="171">
        <v>1871.1046600876773</v>
      </c>
      <c r="BA24" s="171">
        <v>405.66243271806212</v>
      </c>
      <c r="BB24" s="171">
        <v>162.16318040098781</v>
      </c>
      <c r="BC24" s="171">
        <v>567.82561311904988</v>
      </c>
      <c r="BD24" s="176">
        <v>0.19411538729010228</v>
      </c>
      <c r="BE24" s="176">
        <v>0.15804126877406593</v>
      </c>
      <c r="BF24" s="8">
        <v>0</v>
      </c>
      <c r="BG24" s="8">
        <v>1.9928438389879564E-13</v>
      </c>
      <c r="BH24" s="8">
        <v>0</v>
      </c>
      <c r="BI24" s="8">
        <v>1.9895196601282805E-13</v>
      </c>
      <c r="BJ24" s="174">
        <v>1.0600802114566752</v>
      </c>
      <c r="BK24" s="25">
        <v>0.94371040224949598</v>
      </c>
      <c r="BL24" s="8">
        <v>523.90602427057024</v>
      </c>
      <c r="BM24" s="8">
        <v>257.32328173556937</v>
      </c>
      <c r="BN24" s="8">
        <v>506.27268762368726</v>
      </c>
      <c r="BO24" s="8">
        <v>246.63027945426043</v>
      </c>
      <c r="BP24" s="171">
        <v>1617.8280938184748</v>
      </c>
      <c r="BQ24" s="8">
        <v>427.76493326331547</v>
      </c>
      <c r="BR24" s="8">
        <v>6725.8074153037041</v>
      </c>
      <c r="BS24" s="8">
        <v>3969.9415138161808</v>
      </c>
      <c r="BU24" s="171">
        <v>1329.555386352507</v>
      </c>
      <c r="BV24" s="171">
        <v>597.23305838183342</v>
      </c>
      <c r="BW24" s="171">
        <v>1926.7884447343404</v>
      </c>
      <c r="BX24" s="171">
        <v>407.53219593663732</v>
      </c>
      <c r="BY24" s="171">
        <v>193.87428995546429</v>
      </c>
      <c r="BZ24" s="171">
        <v>601.40648589210161</v>
      </c>
      <c r="CA24" s="171">
        <v>0.19767966940701809</v>
      </c>
      <c r="CB24" s="171">
        <v>0.16690328376502225</v>
      </c>
      <c r="CC24" s="8">
        <v>5.6938395399655898E-13</v>
      </c>
      <c r="CD24" s="8">
        <v>3.2739577354802139E-13</v>
      </c>
      <c r="CE24" s="8">
        <v>5.6843418860808015E-13</v>
      </c>
      <c r="CF24" s="8">
        <v>3.2684965844964609E-13</v>
      </c>
      <c r="CG24" s="171">
        <v>0.73729913852443341</v>
      </c>
      <c r="CH24" s="8">
        <v>0.62092932931725409</v>
      </c>
      <c r="CI24" s="8">
        <v>523.90602427057024</v>
      </c>
      <c r="CJ24" s="8">
        <v>257.32328173556937</v>
      </c>
      <c r="CK24" s="8">
        <v>506.27268762368726</v>
      </c>
      <c r="CL24" s="8">
        <v>246.63027945426043</v>
      </c>
      <c r="CM24" s="171">
        <v>2711.5295725002366</v>
      </c>
      <c r="CN24" s="8">
        <v>455.61580380931844</v>
      </c>
      <c r="CO24" s="8">
        <v>6725.8074153037041</v>
      </c>
      <c r="CP24" s="8">
        <v>3969.9415138161808</v>
      </c>
    </row>
    <row r="25" spans="1:94" x14ac:dyDescent="0.2">
      <c r="A25" s="6" t="str">
        <f t="shared" si="0"/>
        <v>1- Preferred Resource Strategy&amp;2044</v>
      </c>
      <c r="B25" s="6" t="str">
        <f>'Scenario List'!$A$3</f>
        <v>1- Preferred Resource Strategy</v>
      </c>
      <c r="C25" s="6">
        <v>2044</v>
      </c>
      <c r="D25" s="171">
        <v>1393.9217988508681</v>
      </c>
      <c r="E25" s="171">
        <v>619.10414990504455</v>
      </c>
      <c r="F25" s="171">
        <v>2013.0259487559126</v>
      </c>
      <c r="G25" s="171">
        <v>454.91426582393956</v>
      </c>
      <c r="H25" s="171">
        <v>200.1255011875021</v>
      </c>
      <c r="I25" s="171">
        <v>655.03976701144165</v>
      </c>
      <c r="J25" s="171">
        <v>0.2044483479402201</v>
      </c>
      <c r="K25" s="171">
        <v>0.17078909974066525</v>
      </c>
      <c r="L25" s="8">
        <v>1.8504978504888167E-13</v>
      </c>
      <c r="M25" s="8">
        <v>2.8469197699827949E-13</v>
      </c>
      <c r="N25" s="8">
        <v>-1.8474111129762605E-13</v>
      </c>
      <c r="O25" s="8">
        <v>-2.8421709430404007E-13</v>
      </c>
      <c r="P25" s="171">
        <v>1.0125908213369361</v>
      </c>
      <c r="Q25" s="8">
        <v>0.90364340097477425</v>
      </c>
      <c r="R25" s="8">
        <v>560.56558361400391</v>
      </c>
      <c r="S25" s="8">
        <v>274.7963386316863</v>
      </c>
      <c r="T25" s="8">
        <v>546.65063525854077</v>
      </c>
      <c r="U25" s="8">
        <v>264.13255220360497</v>
      </c>
      <c r="V25" s="171">
        <v>1798.5183899162632</v>
      </c>
      <c r="W25" s="8">
        <v>315.48326250010774</v>
      </c>
      <c r="X25" s="8">
        <v>6817.9655785648383</v>
      </c>
      <c r="Y25" s="8">
        <v>4017.9528484043276</v>
      </c>
      <c r="AA25" s="171">
        <v>1396.787406788945</v>
      </c>
      <c r="AB25" s="171">
        <v>651.90782500150124</v>
      </c>
      <c r="AC25" s="171">
        <v>2048.6952317904461</v>
      </c>
      <c r="AD25" s="171">
        <v>439.89324471878365</v>
      </c>
      <c r="AE25" s="171">
        <v>232.92917628395878</v>
      </c>
      <c r="AF25" s="171">
        <v>672.82242100274243</v>
      </c>
      <c r="AG25" s="176">
        <v>0.20486865043442543</v>
      </c>
      <c r="AH25" s="176">
        <v>0.1798384820437372</v>
      </c>
      <c r="AI25" s="8">
        <v>3.7009957009776334E-13</v>
      </c>
      <c r="AJ25" s="8">
        <v>1.11029871029329E-12</v>
      </c>
      <c r="AK25" s="8">
        <v>-3.694822225952521E-13</v>
      </c>
      <c r="AL25" s="8">
        <v>-1.1084466677857563E-12</v>
      </c>
      <c r="AM25" s="174">
        <v>0.74948978451584158</v>
      </c>
      <c r="AN25" s="25">
        <v>0.64054236415367971</v>
      </c>
      <c r="AO25" s="8">
        <v>560.56558361400391</v>
      </c>
      <c r="AP25" s="8">
        <v>274.7963386316863</v>
      </c>
      <c r="AQ25" s="8">
        <v>546.65063525854077</v>
      </c>
      <c r="AR25" s="8">
        <v>264.13255220360497</v>
      </c>
      <c r="AS25" s="171">
        <v>2012.7624274248851</v>
      </c>
      <c r="AT25" s="8">
        <v>96.120732761158024</v>
      </c>
      <c r="AU25" s="8">
        <v>6817.9655785648383</v>
      </c>
      <c r="AV25" s="8">
        <v>4017.9528484043276</v>
      </c>
      <c r="AX25" s="171">
        <v>1371.263695804895</v>
      </c>
      <c r="AY25" s="171">
        <v>589.52235241734763</v>
      </c>
      <c r="AZ25" s="171">
        <v>1960.7860482222427</v>
      </c>
      <c r="BA25" s="171">
        <v>442.98424359317659</v>
      </c>
      <c r="BB25" s="171">
        <v>170.54370369980515</v>
      </c>
      <c r="BC25" s="171">
        <v>613.52794729298171</v>
      </c>
      <c r="BD25" s="176">
        <v>0.20112505409473511</v>
      </c>
      <c r="BE25" s="176">
        <v>0.16262852035768208</v>
      </c>
      <c r="BF25" s="8">
        <v>2.8469197699827949E-13</v>
      </c>
      <c r="BG25" s="8">
        <v>3.7009957009776334E-13</v>
      </c>
      <c r="BH25" s="8">
        <v>2.8421709430404007E-13</v>
      </c>
      <c r="BI25" s="8">
        <v>-3.694822225952521E-13</v>
      </c>
      <c r="BJ25" s="174">
        <v>1.1451728602020494</v>
      </c>
      <c r="BK25" s="25">
        <v>1.0362254398398876</v>
      </c>
      <c r="BL25" s="8">
        <v>560.56558361400391</v>
      </c>
      <c r="BM25" s="8">
        <v>274.7963386316863</v>
      </c>
      <c r="BN25" s="8">
        <v>546.65063525854077</v>
      </c>
      <c r="BO25" s="8">
        <v>264.13255220360497</v>
      </c>
      <c r="BP25" s="171">
        <v>1776.8503322484378</v>
      </c>
      <c r="BQ25" s="8">
        <v>393.68168896881889</v>
      </c>
      <c r="BR25" s="8">
        <v>6817.9655785648383</v>
      </c>
      <c r="BS25" s="8">
        <v>4017.9528484043276</v>
      </c>
      <c r="BU25" s="171">
        <v>1391.3330713077471</v>
      </c>
      <c r="BV25" s="171">
        <v>624.07449812620575</v>
      </c>
      <c r="BW25" s="171">
        <v>2015.4075694339529</v>
      </c>
      <c r="BX25" s="171">
        <v>436.63512150654162</v>
      </c>
      <c r="BY25" s="171">
        <v>205.09584940866324</v>
      </c>
      <c r="BZ25" s="171">
        <v>641.73097091520481</v>
      </c>
      <c r="CA25" s="171">
        <v>0.20406865585857337</v>
      </c>
      <c r="CB25" s="171">
        <v>0.17216024431822938</v>
      </c>
      <c r="CC25" s="8">
        <v>7.1172994249569872E-14</v>
      </c>
      <c r="CD25" s="8">
        <v>9.9642191949397818E-14</v>
      </c>
      <c r="CE25" s="8">
        <v>0</v>
      </c>
      <c r="CF25" s="8">
        <v>0</v>
      </c>
      <c r="CG25" s="171">
        <v>0.77366653847087519</v>
      </c>
      <c r="CH25" s="8">
        <v>0.66471911810871331</v>
      </c>
      <c r="CI25" s="8">
        <v>560.56558361400391</v>
      </c>
      <c r="CJ25" s="8">
        <v>274.7963386316863</v>
      </c>
      <c r="CK25" s="8">
        <v>546.65063525854077</v>
      </c>
      <c r="CL25" s="8">
        <v>264.13255220360497</v>
      </c>
      <c r="CM25" s="171">
        <v>3239.31806060286</v>
      </c>
      <c r="CN25" s="8">
        <v>581.59218199601787</v>
      </c>
      <c r="CO25" s="8">
        <v>6817.9655785648383</v>
      </c>
      <c r="CP25" s="8">
        <v>4017.9528484043276</v>
      </c>
    </row>
    <row r="26" spans="1:94" x14ac:dyDescent="0.2">
      <c r="A26" s="6" t="str">
        <f t="shared" si="0"/>
        <v>1- Preferred Resource Strategy&amp;2045</v>
      </c>
      <c r="B26" s="6" t="str">
        <f>'Scenario List'!$A$3</f>
        <v>1- Preferred Resource Strategy</v>
      </c>
      <c r="C26" s="6">
        <v>2045</v>
      </c>
      <c r="D26" s="171">
        <v>1599.133637187429</v>
      </c>
      <c r="E26" s="171">
        <v>676.13218066340573</v>
      </c>
      <c r="F26" s="171">
        <v>2275.2658178508345</v>
      </c>
      <c r="G26" s="171">
        <v>541.169303204421</v>
      </c>
      <c r="H26" s="171">
        <v>240.70789022338175</v>
      </c>
      <c r="I26" s="171">
        <v>781.87719342780269</v>
      </c>
      <c r="J26" s="171">
        <v>0.23138444440169975</v>
      </c>
      <c r="K26" s="171">
        <v>0.18379964318979025</v>
      </c>
      <c r="L26" s="8">
        <v>2.5622277929845155E-13</v>
      </c>
      <c r="M26" s="8">
        <v>5.8361855284647294E-13</v>
      </c>
      <c r="N26" s="8">
        <v>-2.5579538487363607E-13</v>
      </c>
      <c r="O26" s="8">
        <v>-5.8264504332328215E-13</v>
      </c>
      <c r="P26" s="171">
        <v>0.65076816198805154</v>
      </c>
      <c r="Q26" s="8">
        <v>0.53296748870959165</v>
      </c>
      <c r="R26" s="8">
        <v>913.33107289680345</v>
      </c>
      <c r="S26" s="8">
        <v>342.64704152427845</v>
      </c>
      <c r="T26" s="8">
        <v>887.16199476136762</v>
      </c>
      <c r="U26" s="8">
        <v>331.95403924296954</v>
      </c>
      <c r="V26" s="171">
        <v>2607.6818549234504</v>
      </c>
      <c r="W26" s="8">
        <v>523.30003998754262</v>
      </c>
      <c r="X26" s="8">
        <v>6911.1544698796606</v>
      </c>
      <c r="Y26" s="8">
        <v>4070.4274226173325</v>
      </c>
      <c r="AA26" s="171">
        <v>1580.3386324646663</v>
      </c>
      <c r="AB26" s="171">
        <v>709.3601041911478</v>
      </c>
      <c r="AC26" s="171">
        <v>2289.6987366558142</v>
      </c>
      <c r="AD26" s="171">
        <v>521.96108571674336</v>
      </c>
      <c r="AE26" s="171">
        <v>273.93581375112376</v>
      </c>
      <c r="AF26" s="171">
        <v>795.89689946786712</v>
      </c>
      <c r="AG26" s="176">
        <v>0.22866492701792898</v>
      </c>
      <c r="AH26" s="176">
        <v>0.19283231559172251</v>
      </c>
      <c r="AI26" s="8">
        <v>2.5622277929845155E-13</v>
      </c>
      <c r="AJ26" s="8">
        <v>5.9785315169638691E-13</v>
      </c>
      <c r="AK26" s="8">
        <v>2.5579538487363607E-13</v>
      </c>
      <c r="AL26" s="8">
        <v>5.9685589803848416E-13</v>
      </c>
      <c r="AM26" s="174">
        <v>0.48660777844969982</v>
      </c>
      <c r="AN26" s="25">
        <v>0.36880710517123994</v>
      </c>
      <c r="AO26" s="8">
        <v>913.33107289680345</v>
      </c>
      <c r="AP26" s="8">
        <v>342.64704152427845</v>
      </c>
      <c r="AQ26" s="8">
        <v>887.16199476136762</v>
      </c>
      <c r="AR26" s="8">
        <v>331.95403924296954</v>
      </c>
      <c r="AS26" s="171">
        <v>3193.1620177018126</v>
      </c>
      <c r="AT26" s="8">
        <v>242.38853175905271</v>
      </c>
      <c r="AU26" s="8">
        <v>6911.1544698796606</v>
      </c>
      <c r="AV26" s="8">
        <v>4070.4274226173325</v>
      </c>
      <c r="AX26" s="171">
        <v>1585.4649318904458</v>
      </c>
      <c r="AY26" s="171">
        <v>646.0829017975409</v>
      </c>
      <c r="AZ26" s="171">
        <v>2231.5478336879869</v>
      </c>
      <c r="BA26" s="171">
        <v>527.5229374412877</v>
      </c>
      <c r="BB26" s="171">
        <v>210.65861135751675</v>
      </c>
      <c r="BC26" s="171">
        <v>738.18154879880444</v>
      </c>
      <c r="BD26" s="176">
        <v>0.22940666986973776</v>
      </c>
      <c r="BE26" s="176">
        <v>0.17563105294721759</v>
      </c>
      <c r="BF26" s="8">
        <v>9.9642191949397818E-14</v>
      </c>
      <c r="BG26" s="8">
        <v>4.2703796549741926E-14</v>
      </c>
      <c r="BH26" s="8">
        <v>0</v>
      </c>
      <c r="BI26" s="8">
        <v>0</v>
      </c>
      <c r="BJ26" s="174">
        <v>0.71769223514043612</v>
      </c>
      <c r="BK26" s="25">
        <v>0.59989156186197623</v>
      </c>
      <c r="BL26" s="8">
        <v>913.33107289680345</v>
      </c>
      <c r="BM26" s="8">
        <v>342.64704152427845</v>
      </c>
      <c r="BN26" s="8">
        <v>887.16199476136762</v>
      </c>
      <c r="BO26" s="8">
        <v>331.95403924296954</v>
      </c>
      <c r="BP26" s="171">
        <v>2509.2475683745033</v>
      </c>
      <c r="BQ26" s="8">
        <v>628.76839387710095</v>
      </c>
      <c r="BR26" s="8">
        <v>6911.1544698796606</v>
      </c>
      <c r="BS26" s="8">
        <v>4070.4274226173325</v>
      </c>
      <c r="BU26" s="171">
        <v>1594.7740499219392</v>
      </c>
      <c r="BV26" s="171">
        <v>681.90658645090912</v>
      </c>
      <c r="BW26" s="171">
        <v>2276.6806363728483</v>
      </c>
      <c r="BX26" s="171">
        <v>536.87920998563072</v>
      </c>
      <c r="BY26" s="171">
        <v>246.48229601088505</v>
      </c>
      <c r="BZ26" s="171">
        <v>783.3615059965158</v>
      </c>
      <c r="CA26" s="171">
        <v>0.23075363991245126</v>
      </c>
      <c r="CB26" s="171">
        <v>0.18536935655905307</v>
      </c>
      <c r="CC26" s="8">
        <v>4.2703796549741926E-13</v>
      </c>
      <c r="CD26" s="8">
        <v>3.5586497124784937E-13</v>
      </c>
      <c r="CE26" s="8">
        <v>-4.2632564145606011E-13</v>
      </c>
      <c r="CF26" s="8">
        <v>3.5527136788005009E-13</v>
      </c>
      <c r="CG26" s="171">
        <v>0.4651977728411798</v>
      </c>
      <c r="CH26" s="8">
        <v>0.34739709956271991</v>
      </c>
      <c r="CI26" s="8">
        <v>913.33107289680345</v>
      </c>
      <c r="CJ26" s="8">
        <v>342.64704152427845</v>
      </c>
      <c r="CK26" s="8">
        <v>887.16199476136762</v>
      </c>
      <c r="CL26" s="8">
        <v>331.95403924296954</v>
      </c>
      <c r="CM26" s="171">
        <v>4032.1252372640629</v>
      </c>
      <c r="CN26" s="8">
        <v>678.90821406521172</v>
      </c>
      <c r="CO26" s="8">
        <v>6911.1544698796606</v>
      </c>
      <c r="CP26" s="8">
        <v>4070.4274226173325</v>
      </c>
    </row>
    <row r="27" spans="1:94" x14ac:dyDescent="0.2">
      <c r="A27" s="6" t="str">
        <f t="shared" si="0"/>
        <v>1- Preferred Resource Strategy&amp;NPV</v>
      </c>
      <c r="B27" s="6" t="str">
        <f>'Scenario List'!$A$3</f>
        <v>1- Preferred Resource Strategy</v>
      </c>
      <c r="C27" s="3" t="s">
        <v>6</v>
      </c>
      <c r="D27" s="16">
        <f>NPV($B$1,D4:D26)</f>
        <v>10188.543444138095</v>
      </c>
      <c r="E27" s="16">
        <f t="shared" ref="E27" si="1">NPV($B$1,E4:E26)</f>
        <v>4784.6525498810624</v>
      </c>
      <c r="F27" s="16">
        <f t="shared" ref="F27" si="2">NPV($B$1,F4:F26)</f>
        <v>14973.195994019154</v>
      </c>
      <c r="G27" s="16">
        <f t="shared" ref="G27" si="3">NPV($B$1,G4:G26)</f>
        <v>4257.549671845878</v>
      </c>
      <c r="H27" s="16">
        <f t="shared" ref="H27" si="4">NPV($B$1,H4:H26)</f>
        <v>1653.7840206981791</v>
      </c>
      <c r="I27" s="16">
        <f t="shared" ref="I27" si="5">NPV($B$1,I4:I26)</f>
        <v>5911.3336925440572</v>
      </c>
      <c r="J27" s="16"/>
      <c r="K27" s="16"/>
      <c r="L27" s="16">
        <f t="shared" ref="L27" si="6">NPV($B$1,L4:L26)</f>
        <v>4.2332664973014442E-12</v>
      </c>
      <c r="M27" s="16">
        <f t="shared" ref="M27" si="7">NPV($B$1,M4:M26)</f>
        <v>4.9768798327902735E-12</v>
      </c>
      <c r="N27" s="16">
        <f t="shared" ref="N27" si="8">NPV($B$1,N4:N26)</f>
        <v>-1.5438153546355457E-12</v>
      </c>
      <c r="O27" s="16">
        <f t="shared" ref="O27" si="9">NPV($B$1,O4:O26)</f>
        <v>-1.0419869276266162E-12</v>
      </c>
      <c r="P27" s="16">
        <f t="shared" ref="P27" si="10">NPV($B$1,P4:P26)</f>
        <v>18.747107496212699</v>
      </c>
      <c r="Q27" s="16">
        <f t="shared" ref="Q27" si="11">NPV($B$1,Q4:Q26)</f>
        <v>19.300958829960368</v>
      </c>
      <c r="R27" s="16"/>
      <c r="Z27" s="172"/>
      <c r="AA27" s="16">
        <f>NPV($B$1,AA4:AA26)</f>
        <v>10309.077611882723</v>
      </c>
      <c r="AB27" s="16">
        <f t="shared" ref="AB27:AN27" si="12">NPV($B$1,AB4:AB26)</f>
        <v>4933.9498279480331</v>
      </c>
      <c r="AC27" s="16">
        <f>NPV($B$1,AC4:AC26)</f>
        <v>15243.027439830759</v>
      </c>
      <c r="AD27" s="16">
        <f t="shared" si="12"/>
        <v>4273.7620030428798</v>
      </c>
      <c r="AE27" s="16">
        <f t="shared" si="12"/>
        <v>1803.0812987651514</v>
      </c>
      <c r="AF27" s="16">
        <f t="shared" si="12"/>
        <v>6076.8433018080304</v>
      </c>
      <c r="AG27" s="17"/>
      <c r="AH27" s="17"/>
      <c r="AI27" s="16">
        <f t="shared" si="12"/>
        <v>4.2605874225718717E-12</v>
      </c>
      <c r="AJ27" s="16">
        <f t="shared" si="12"/>
        <v>5.4520390903365802E-12</v>
      </c>
      <c r="AK27" s="16">
        <f t="shared" si="12"/>
        <v>-6.6020267312795215E-14</v>
      </c>
      <c r="AL27" s="16">
        <f t="shared" si="12"/>
        <v>1.6348521596171302E-12</v>
      </c>
      <c r="AM27" s="52">
        <f t="shared" si="12"/>
        <v>17.346386357450772</v>
      </c>
      <c r="AN27" s="52">
        <f t="shared" si="12"/>
        <v>17.900237691198448</v>
      </c>
      <c r="AO27" s="16"/>
      <c r="AX27" s="16">
        <f>NPV($B$1,AX4:AX26)</f>
        <v>9921.4797682228091</v>
      </c>
      <c r="AY27" s="16">
        <f t="shared" ref="AY27" si="13">NPV($B$1,AY4:AY26)</f>
        <v>4598.5591160896456</v>
      </c>
      <c r="AZ27" s="16">
        <f t="shared" ref="AZ27" si="14">NPV($B$1,AZ4:AZ26)</f>
        <v>14520.038884312455</v>
      </c>
      <c r="BA27" s="16">
        <f t="shared" ref="BA27" si="15">NPV($B$1,BA4:BA26)</f>
        <v>4055.4932232439146</v>
      </c>
      <c r="BB27" s="16">
        <f t="shared" ref="BB27" si="16">NPV($B$1,BB4:BB26)</f>
        <v>1467.6905869067639</v>
      </c>
      <c r="BC27" s="16">
        <f t="shared" ref="BC27" si="17">NPV($B$1,BC4:BC26)</f>
        <v>5523.1838101506773</v>
      </c>
      <c r="BD27" s="16"/>
      <c r="BE27" s="16"/>
      <c r="BF27" s="16">
        <f t="shared" ref="BF27" si="18">NPV($B$1,BF4:BF26)</f>
        <v>3.8859395121931657E-12</v>
      </c>
      <c r="BG27" s="16">
        <f t="shared" ref="BG27" si="19">NPV($B$1,BG4:BG26)</f>
        <v>3.3779526324782997E-12</v>
      </c>
      <c r="BH27" s="16">
        <f t="shared" ref="BH27" si="20">NPV($B$1,BH4:BH26)</f>
        <v>-3.8011173622842148E-15</v>
      </c>
      <c r="BI27" s="16">
        <f t="shared" ref="BI27" si="21">NPV($B$1,BI4:BI26)</f>
        <v>1.0130595869106652E-12</v>
      </c>
      <c r="BJ27" s="52">
        <f t="shared" ref="BJ27" si="22">NPV($B$1,BJ4:BJ26)</f>
        <v>19.618125048080461</v>
      </c>
      <c r="BK27" s="52">
        <f t="shared" ref="BK27" si="23">NPV($B$1,BK4:BK26)</f>
        <v>20.171976381828138</v>
      </c>
      <c r="BL27" s="16"/>
      <c r="BU27" s="16">
        <f>NPV($B$1,BU4:BU26)</f>
        <v>10169.913412713024</v>
      </c>
      <c r="BV27" s="16">
        <f t="shared" ref="BV27" si="24">NPV($B$1,BV4:BV26)</f>
        <v>4788.3494465168487</v>
      </c>
      <c r="BW27" s="16">
        <f t="shared" ref="BW27" si="25">NPV($B$1,BW4:BW26)</f>
        <v>14958.262859229872</v>
      </c>
      <c r="BX27" s="16">
        <f t="shared" ref="BX27" si="26">NPV($B$1,BX4:BX26)</f>
        <v>4155.9763746643484</v>
      </c>
      <c r="BY27" s="16">
        <f t="shared" ref="BY27" si="27">NPV($B$1,BY4:BY26)</f>
        <v>1657.4809173339665</v>
      </c>
      <c r="BZ27" s="16">
        <f t="shared" ref="BZ27" si="28">NPV($B$1,BZ4:BZ26)</f>
        <v>5813.4572919983148</v>
      </c>
      <c r="CA27" s="16"/>
      <c r="CB27" s="16"/>
      <c r="CC27" s="16">
        <f t="shared" ref="CC27" si="29">NPV($B$1,CC4:CC26)</f>
        <v>5.1592119890476219E-12</v>
      </c>
      <c r="CD27" s="16">
        <f t="shared" ref="CD27" si="30">NPV($B$1,CD4:CD26)</f>
        <v>5.4001703516729019E-12</v>
      </c>
      <c r="CE27" s="16">
        <f t="shared" ref="CE27" si="31">NPV($B$1,CE4:CE26)</f>
        <v>6.199142387888774E-13</v>
      </c>
      <c r="CF27" s="16">
        <f t="shared" ref="CF27" si="32">NPV($B$1,CF4:CF26)</f>
        <v>-1.150561048057801E-12</v>
      </c>
      <c r="CG27" s="16">
        <f t="shared" ref="CG27" si="33">NPV($B$1,CG4:CG26)</f>
        <v>17.636939428516701</v>
      </c>
      <c r="CH27" s="16">
        <f t="shared" ref="CH27" si="34">NPV($B$1,CH4:CH26)</f>
        <v>18.190790762264385</v>
      </c>
      <c r="CI27" s="16"/>
    </row>
    <row r="28" spans="1:94" x14ac:dyDescent="0.2">
      <c r="A28" s="6" t="str">
        <f t="shared" si="0"/>
        <v>1- Preferred Resource Strategy&amp;Levelized</v>
      </c>
      <c r="B28" s="6" t="str">
        <f>'Scenario List'!$A$3</f>
        <v>1- Preferred Resource Strategy</v>
      </c>
      <c r="C28" s="3" t="s">
        <v>7</v>
      </c>
      <c r="D28" s="16">
        <f>-PMT($B$1,COUNT(D4:D26),D27)</f>
        <v>866.38439737025442</v>
      </c>
      <c r="E28" s="16">
        <f t="shared" ref="E28" si="35">-PMT($B$1,COUNT(E4:E26),E27)</f>
        <v>406.86368358567989</v>
      </c>
      <c r="F28" s="16">
        <f t="shared" ref="F28" si="36">-PMT($B$1,COUNT(F4:F26),F27)</f>
        <v>1273.2480809559338</v>
      </c>
      <c r="G28" s="16">
        <f t="shared" ref="G28" si="37">-PMT($B$1,COUNT(G4:G26),G27)</f>
        <v>362.04140728657029</v>
      </c>
      <c r="H28" s="16">
        <f t="shared" ref="H28" si="38">-PMT($B$1,COUNT(H4:H26),H27)</f>
        <v>140.62978481752529</v>
      </c>
      <c r="I28" s="16">
        <f t="shared" ref="I28" si="39">-PMT($B$1,COUNT(I4:I26),I27)</f>
        <v>502.6711921040955</v>
      </c>
      <c r="J28" s="16"/>
      <c r="K28" s="16"/>
      <c r="L28" s="16">
        <f t="shared" ref="L28" si="40">-PMT($B$1,COUNT(L4:L26),L27)</f>
        <v>3.5997648371243362E-13</v>
      </c>
      <c r="M28" s="16">
        <f t="shared" ref="M28" si="41">-PMT($B$1,COUNT(M4:M26),M27)</f>
        <v>4.232097608806869E-13</v>
      </c>
      <c r="N28" s="16">
        <f t="shared" ref="N28" si="42">-PMT($B$1,COUNT(N4:N26),N27)</f>
        <v>-1.3127858196908464E-13</v>
      </c>
      <c r="O28" s="16">
        <f t="shared" ref="O28" si="43">-PMT($B$1,COUNT(O4:O26),O27)</f>
        <v>-8.8605522595957125E-14</v>
      </c>
      <c r="P28" s="16">
        <f t="shared" ref="P28" si="44">-PMT($B$1,COUNT(P4:P26),P27)</f>
        <v>1.5941632402702715</v>
      </c>
      <c r="Q28" s="16">
        <f t="shared" ref="Q28" si="45">-PMT($B$1,COUNT(Q4:Q26),Q27)</f>
        <v>1.6412600757161433</v>
      </c>
      <c r="R28" s="16"/>
      <c r="Z28" s="172"/>
      <c r="AA28" s="16">
        <f>-PMT($B$1,COUNT(AA4:AA26),AA27)</f>
        <v>876.63403931922574</v>
      </c>
      <c r="AB28" s="16">
        <f t="shared" ref="AB28:AN28" si="46">-PMT($B$1,COUNT(AB4:AB26),AB27)</f>
        <v>419.55920115364898</v>
      </c>
      <c r="AC28" s="16">
        <f t="shared" si="46"/>
        <v>1296.193240472875</v>
      </c>
      <c r="AD28" s="16">
        <f t="shared" si="46"/>
        <v>363.42002542478536</v>
      </c>
      <c r="AE28" s="16">
        <f t="shared" si="46"/>
        <v>153.32530238549452</v>
      </c>
      <c r="AF28" s="16">
        <f t="shared" si="46"/>
        <v>516.74532781027983</v>
      </c>
      <c r="AG28" s="17"/>
      <c r="AH28" s="17"/>
      <c r="AI28" s="16">
        <f t="shared" si="46"/>
        <v>3.6229972289826995E-13</v>
      </c>
      <c r="AJ28" s="16">
        <f t="shared" si="46"/>
        <v>4.636150032258041E-13</v>
      </c>
      <c r="AK28" s="16">
        <f t="shared" si="46"/>
        <v>-5.6140438349829268E-15</v>
      </c>
      <c r="AL28" s="16">
        <f t="shared" si="46"/>
        <v>1.390199110270534E-13</v>
      </c>
      <c r="AM28" s="52">
        <f t="shared" si="46"/>
        <v>1.4750526974980127</v>
      </c>
      <c r="AN28" s="52">
        <f t="shared" si="46"/>
        <v>1.522149532943885</v>
      </c>
      <c r="AO28" s="16"/>
      <c r="AX28" s="16">
        <f>-PMT($B$1,COUNT(AX4:AX26),AX27)</f>
        <v>843.6745956026158</v>
      </c>
      <c r="AY28" s="16">
        <f t="shared" ref="AY28" si="47">-PMT($B$1,COUNT(AY4:AY26),AY27)</f>
        <v>391.039199117029</v>
      </c>
      <c r="AZ28" s="16">
        <f t="shared" ref="AZ28" si="48">-PMT($B$1,COUNT(AZ4:AZ26),AZ27)</f>
        <v>1234.713794719645</v>
      </c>
      <c r="BA28" s="16">
        <f t="shared" ref="BA28" si="49">-PMT($B$1,COUNT(BA4:BA26),BA27)</f>
        <v>344.85950533791589</v>
      </c>
      <c r="BB28" s="16">
        <f t="shared" ref="BB28" si="50">-PMT($B$1,COUNT(BB4:BB26),BB27)</f>
        <v>124.80530034887452</v>
      </c>
      <c r="BC28" s="16">
        <f t="shared" ref="BC28" si="51">-PMT($B$1,COUNT(BC4:BC26),BC27)</f>
        <v>469.66480568679032</v>
      </c>
      <c r="BD28" s="16"/>
      <c r="BE28" s="16"/>
      <c r="BF28" s="16">
        <f t="shared" ref="BF28" si="52">-PMT($B$1,COUNT(BF4:BF26),BF27)</f>
        <v>3.3044147879898897E-13</v>
      </c>
      <c r="BG28" s="16">
        <f t="shared" ref="BG28" si="53">-PMT($B$1,COUNT(BG4:BG26),BG27)</f>
        <v>2.8724473442951037E-13</v>
      </c>
      <c r="BH28" s="16">
        <f t="shared" ref="BH28" si="54">-PMT($B$1,COUNT(BH4:BH26),BH27)</f>
        <v>-3.2322861391448014E-16</v>
      </c>
      <c r="BI28" s="16">
        <f t="shared" ref="BI28" si="55">-PMT($B$1,COUNT(BI4:BI26),BI27)</f>
        <v>8.6145681619558032E-14</v>
      </c>
      <c r="BJ28" s="52">
        <f t="shared" ref="BJ28" si="56">-PMT($B$1,COUNT(BJ4:BJ26),BJ27)</f>
        <v>1.6682303550557553</v>
      </c>
      <c r="BK28" s="52">
        <f t="shared" ref="BK28" si="57">-PMT($B$1,COUNT(BK4:BK26),BK27)</f>
        <v>1.7153271905016276</v>
      </c>
      <c r="BL28" s="16"/>
      <c r="BU28" s="16">
        <f>-PMT($B$1,COUNT(BU4:BU26),BU27)</f>
        <v>864.80018971214349</v>
      </c>
      <c r="BV28" s="16">
        <f t="shared" ref="BV28" si="58">-PMT($B$1,COUNT(BV4:BV26),BV27)</f>
        <v>407.17804977369263</v>
      </c>
      <c r="BW28" s="16">
        <f t="shared" ref="BW28" si="59">-PMT($B$1,COUNT(BW4:BW26),BW27)</f>
        <v>1271.978239485836</v>
      </c>
      <c r="BX28" s="16">
        <f t="shared" ref="BX28" si="60">-PMT($B$1,COUNT(BX4:BX26),BX27)</f>
        <v>353.40410595394843</v>
      </c>
      <c r="BY28" s="16">
        <f t="shared" ref="BY28" si="61">-PMT($B$1,COUNT(BY4:BY26),BY27)</f>
        <v>140.94415100553812</v>
      </c>
      <c r="BZ28" s="16">
        <f t="shared" ref="BZ28" si="62">-PMT($B$1,COUNT(BZ4:BZ26),BZ27)</f>
        <v>494.34825695948655</v>
      </c>
      <c r="CA28" s="16"/>
      <c r="CB28" s="16"/>
      <c r="CC28" s="16">
        <f t="shared" ref="CC28" si="63">-PMT($B$1,COUNT(CC4:CC26),CC27)</f>
        <v>4.3871440452149395E-13</v>
      </c>
      <c r="CD28" s="16">
        <f t="shared" ref="CD28" si="64">-PMT($B$1,COUNT(CD4:CD26),CD27)</f>
        <v>4.592043368596179E-13</v>
      </c>
      <c r="CE28" s="16">
        <f t="shared" ref="CE28" si="65">-PMT($B$1,COUNT(CE4:CE26),CE27)</f>
        <v>5.2714504986809369E-14</v>
      </c>
      <c r="CF28" s="16">
        <f t="shared" ref="CF28" si="66">-PMT($B$1,COUNT(CF4:CF26),CF27)</f>
        <v>-9.7838140036863076E-14</v>
      </c>
      <c r="CG28" s="16">
        <f t="shared" ref="CG28" si="67">-PMT($B$1,COUNT(CG4:CG26),CG27)</f>
        <v>1.4997599236839463</v>
      </c>
      <c r="CH28" s="16">
        <f t="shared" ref="CH28" si="68">-PMT($B$1,COUNT(CH4:CH26),CH27)</f>
        <v>1.546856759129819</v>
      </c>
      <c r="CI28" s="16"/>
    </row>
    <row r="29" spans="1:94" x14ac:dyDescent="0.2">
      <c r="A29" s="6" t="str">
        <f t="shared" si="0"/>
        <v>&amp;</v>
      </c>
    </row>
    <row r="30" spans="1:94" x14ac:dyDescent="0.2">
      <c r="A30" s="6" t="str">
        <f t="shared" si="0"/>
        <v>&amp;</v>
      </c>
    </row>
    <row r="31" spans="1:94" x14ac:dyDescent="0.2">
      <c r="A31" s="6" t="str">
        <f t="shared" si="0"/>
        <v>&amp;</v>
      </c>
    </row>
    <row r="32" spans="1:94" x14ac:dyDescent="0.2">
      <c r="A32" s="6" t="str">
        <f t="shared" si="0"/>
        <v>2- Alternative Lowest Reasonable Cost Portfolio&amp;</v>
      </c>
      <c r="B32" s="6" t="str">
        <f>'Scenario List'!$A$4</f>
        <v>2- Alternative Lowest Reasonable Cost Portfolio</v>
      </c>
    </row>
    <row r="33" spans="1:2" x14ac:dyDescent="0.2">
      <c r="A33" s="6" t="str">
        <f t="shared" si="0"/>
        <v>2- Alternative Lowest Reasonable Cost Portfolio&amp;</v>
      </c>
      <c r="B33" s="6" t="str">
        <f>'Scenario List'!$A$4</f>
        <v>2- Alternative Lowest Reasonable Cost Portfolio</v>
      </c>
    </row>
    <row r="34" spans="1:2" x14ac:dyDescent="0.2">
      <c r="A34" s="6" t="str">
        <f t="shared" si="0"/>
        <v>2- Alternative Lowest Reasonable Cost Portfolio&amp;</v>
      </c>
      <c r="B34" s="6" t="str">
        <f>'Scenario List'!$A$4</f>
        <v>2- Alternative Lowest Reasonable Cost Portfolio</v>
      </c>
    </row>
    <row r="35" spans="1:2" x14ac:dyDescent="0.2">
      <c r="A35" s="6" t="str">
        <f t="shared" si="0"/>
        <v>2- Alternative Lowest Reasonable Cost Portfolio&amp;</v>
      </c>
      <c r="B35" s="6" t="str">
        <f>'Scenario List'!$A$4</f>
        <v>2- Alternative Lowest Reasonable Cost Portfolio</v>
      </c>
    </row>
    <row r="36" spans="1:2" x14ac:dyDescent="0.2">
      <c r="A36" s="6" t="str">
        <f t="shared" si="0"/>
        <v>2- Alternative Lowest Reasonable Cost Portfolio&amp;</v>
      </c>
      <c r="B36" s="6" t="str">
        <f>'Scenario List'!$A$4</f>
        <v>2- Alternative Lowest Reasonable Cost Portfolio</v>
      </c>
    </row>
    <row r="37" spans="1:2" x14ac:dyDescent="0.2">
      <c r="A37" s="6" t="str">
        <f t="shared" si="0"/>
        <v>2- Alternative Lowest Reasonable Cost Portfolio&amp;</v>
      </c>
      <c r="B37" s="6" t="str">
        <f>'Scenario List'!$A$4</f>
        <v>2- Alternative Lowest Reasonable Cost Portfolio</v>
      </c>
    </row>
    <row r="38" spans="1:2" x14ac:dyDescent="0.2">
      <c r="A38" s="6" t="str">
        <f t="shared" si="0"/>
        <v>2- Alternative Lowest Reasonable Cost Portfolio&amp;</v>
      </c>
      <c r="B38" s="6" t="str">
        <f>'Scenario List'!$A$4</f>
        <v>2- Alternative Lowest Reasonable Cost Portfolio</v>
      </c>
    </row>
    <row r="39" spans="1:2" x14ac:dyDescent="0.2">
      <c r="A39" s="6" t="str">
        <f t="shared" si="0"/>
        <v>2- Alternative Lowest Reasonable Cost Portfolio&amp;</v>
      </c>
      <c r="B39" s="6" t="str">
        <f>'Scenario List'!$A$4</f>
        <v>2- Alternative Lowest Reasonable Cost Portfolio</v>
      </c>
    </row>
    <row r="40" spans="1:2" x14ac:dyDescent="0.2">
      <c r="A40" s="6" t="str">
        <f t="shared" si="0"/>
        <v>2- Alternative Lowest Reasonable Cost Portfolio&amp;</v>
      </c>
      <c r="B40" s="6" t="str">
        <f>'Scenario List'!$A$4</f>
        <v>2- Alternative Lowest Reasonable Cost Portfolio</v>
      </c>
    </row>
    <row r="41" spans="1:2" x14ac:dyDescent="0.2">
      <c r="A41" s="6" t="str">
        <f t="shared" si="0"/>
        <v>2- Alternative Lowest Reasonable Cost Portfolio&amp;</v>
      </c>
      <c r="B41" s="6" t="str">
        <f>'Scenario List'!$A$4</f>
        <v>2- Alternative Lowest Reasonable Cost Portfolio</v>
      </c>
    </row>
    <row r="42" spans="1:2" x14ac:dyDescent="0.2">
      <c r="A42" s="6" t="str">
        <f t="shared" si="0"/>
        <v>2- Alternative Lowest Reasonable Cost Portfolio&amp;</v>
      </c>
      <c r="B42" s="6" t="str">
        <f>'Scenario List'!$A$4</f>
        <v>2- Alternative Lowest Reasonable Cost Portfolio</v>
      </c>
    </row>
    <row r="43" spans="1:2" x14ac:dyDescent="0.2">
      <c r="A43" s="6" t="str">
        <f t="shared" si="0"/>
        <v>2- Alternative Lowest Reasonable Cost Portfolio&amp;</v>
      </c>
      <c r="B43" s="6" t="str">
        <f>'Scenario List'!$A$4</f>
        <v>2- Alternative Lowest Reasonable Cost Portfolio</v>
      </c>
    </row>
    <row r="44" spans="1:2" x14ac:dyDescent="0.2">
      <c r="A44" s="6" t="str">
        <f t="shared" si="0"/>
        <v>2- Alternative Lowest Reasonable Cost Portfolio&amp;</v>
      </c>
      <c r="B44" s="6" t="str">
        <f>'Scenario List'!$A$4</f>
        <v>2- Alternative Lowest Reasonable Cost Portfolio</v>
      </c>
    </row>
    <row r="45" spans="1:2" x14ac:dyDescent="0.2">
      <c r="A45" s="6" t="str">
        <f t="shared" si="0"/>
        <v>2- Alternative Lowest Reasonable Cost Portfolio&amp;</v>
      </c>
      <c r="B45" s="6" t="str">
        <f>'Scenario List'!$A$4</f>
        <v>2- Alternative Lowest Reasonable Cost Portfolio</v>
      </c>
    </row>
    <row r="46" spans="1:2" x14ac:dyDescent="0.2">
      <c r="A46" s="6" t="str">
        <f t="shared" si="0"/>
        <v>2- Alternative Lowest Reasonable Cost Portfolio&amp;</v>
      </c>
      <c r="B46" s="6" t="str">
        <f>'Scenario List'!$A$4</f>
        <v>2- Alternative Lowest Reasonable Cost Portfolio</v>
      </c>
    </row>
    <row r="47" spans="1:2" x14ac:dyDescent="0.2">
      <c r="A47" s="6" t="str">
        <f t="shared" si="0"/>
        <v>2- Alternative Lowest Reasonable Cost Portfolio&amp;</v>
      </c>
      <c r="B47" s="6" t="str">
        <f>'Scenario List'!$A$4</f>
        <v>2- Alternative Lowest Reasonable Cost Portfolio</v>
      </c>
    </row>
    <row r="48" spans="1:2" x14ac:dyDescent="0.2">
      <c r="A48" s="6" t="str">
        <f t="shared" si="0"/>
        <v>2- Alternative Lowest Reasonable Cost Portfolio&amp;</v>
      </c>
      <c r="B48" s="6" t="str">
        <f>'Scenario List'!$A$4</f>
        <v>2- Alternative Lowest Reasonable Cost Portfolio</v>
      </c>
    </row>
    <row r="49" spans="1:94" x14ac:dyDescent="0.2">
      <c r="A49" s="6" t="str">
        <f t="shared" si="0"/>
        <v>2- Alternative Lowest Reasonable Cost Portfolio&amp;</v>
      </c>
      <c r="B49" s="6" t="str">
        <f>'Scenario List'!$A$4</f>
        <v>2- Alternative Lowest Reasonable Cost Portfolio</v>
      </c>
    </row>
    <row r="50" spans="1:94" x14ac:dyDescent="0.2">
      <c r="A50" s="6" t="str">
        <f t="shared" si="0"/>
        <v>2- Alternative Lowest Reasonable Cost Portfolio&amp;</v>
      </c>
      <c r="B50" s="6" t="str">
        <f>'Scenario List'!$A$4</f>
        <v>2- Alternative Lowest Reasonable Cost Portfolio</v>
      </c>
    </row>
    <row r="51" spans="1:94" x14ac:dyDescent="0.2">
      <c r="A51" s="6" t="str">
        <f t="shared" si="0"/>
        <v>2- Alternative Lowest Reasonable Cost Portfolio&amp;</v>
      </c>
      <c r="B51" s="6" t="str">
        <f>'Scenario List'!$A$4</f>
        <v>2- Alternative Lowest Reasonable Cost Portfolio</v>
      </c>
    </row>
    <row r="52" spans="1:94" x14ac:dyDescent="0.2">
      <c r="A52" s="6" t="str">
        <f t="shared" si="0"/>
        <v>2- Alternative Lowest Reasonable Cost Portfolio&amp;</v>
      </c>
      <c r="B52" s="6" t="str">
        <f>'Scenario List'!$A$4</f>
        <v>2- Alternative Lowest Reasonable Cost Portfolio</v>
      </c>
    </row>
    <row r="53" spans="1:94" x14ac:dyDescent="0.2">
      <c r="A53" s="6" t="str">
        <f t="shared" si="0"/>
        <v>2- Alternative Lowest Reasonable Cost Portfolio&amp;</v>
      </c>
      <c r="B53" s="6" t="str">
        <f>'Scenario List'!$A$4</f>
        <v>2- Alternative Lowest Reasonable Cost Portfolio</v>
      </c>
    </row>
    <row r="54" spans="1:94" x14ac:dyDescent="0.2">
      <c r="A54" s="6" t="str">
        <f t="shared" si="0"/>
        <v>2- Alternative Lowest Reasonable Cost Portfolio&amp;</v>
      </c>
      <c r="B54" s="6" t="str">
        <f>'Scenario List'!$A$4</f>
        <v>2- Alternative Lowest Reasonable Cost Portfolio</v>
      </c>
    </row>
    <row r="55" spans="1:94" x14ac:dyDescent="0.2">
      <c r="A55" s="6" t="str">
        <f t="shared" si="0"/>
        <v>2- Alternative Lowest Reasonable Cost Portfolio&amp;</v>
      </c>
      <c r="B55" s="6" t="str">
        <f>'Scenario List'!$A$4</f>
        <v>2- Alternative Lowest Reasonable Cost Portfolio</v>
      </c>
      <c r="AA55" s="16"/>
      <c r="AB55" s="16"/>
      <c r="AC55" s="16"/>
      <c r="AD55" s="16"/>
      <c r="AE55" s="16"/>
      <c r="AF55" s="16"/>
      <c r="AG55" s="17"/>
      <c r="AH55" s="17"/>
      <c r="AI55" s="16"/>
      <c r="AJ55" s="16"/>
      <c r="AK55" s="16"/>
      <c r="AL55" s="16"/>
      <c r="AM55" s="52"/>
      <c r="AN55" s="52"/>
    </row>
    <row r="56" spans="1:94" x14ac:dyDescent="0.2">
      <c r="A56" s="6" t="str">
        <f t="shared" si="0"/>
        <v>2- Alternative Lowest Reasonable Cost Portfolio&amp;</v>
      </c>
      <c r="B56" s="6" t="str">
        <f>'Scenario List'!$A$4</f>
        <v>2- Alternative Lowest Reasonable Cost Portfolio</v>
      </c>
      <c r="AA56" s="16"/>
      <c r="AB56" s="16"/>
      <c r="AC56" s="16"/>
      <c r="AD56" s="16"/>
      <c r="AE56" s="16"/>
      <c r="AF56" s="16"/>
      <c r="AG56" s="17"/>
      <c r="AH56" s="17"/>
      <c r="AI56" s="16"/>
      <c r="AJ56" s="16"/>
      <c r="AK56" s="16"/>
      <c r="AL56" s="16"/>
      <c r="AM56" s="52"/>
      <c r="AN56" s="52"/>
    </row>
    <row r="57" spans="1:94" x14ac:dyDescent="0.2">
      <c r="A57" s="6" t="str">
        <f t="shared" si="0"/>
        <v>&amp;</v>
      </c>
    </row>
    <row r="58" spans="1:94" x14ac:dyDescent="0.2">
      <c r="A58" s="6" t="str">
        <f t="shared" si="0"/>
        <v>&amp;</v>
      </c>
    </row>
    <row r="59" spans="1:94" x14ac:dyDescent="0.2">
      <c r="A59" s="6" t="str">
        <f t="shared" si="0"/>
        <v>&amp;</v>
      </c>
    </row>
    <row r="60" spans="1:94" x14ac:dyDescent="0.2">
      <c r="A60" s="6" t="str">
        <f t="shared" si="0"/>
        <v>&amp;</v>
      </c>
    </row>
    <row r="61" spans="1:94" x14ac:dyDescent="0.2">
      <c r="A61" s="6" t="str">
        <f t="shared" si="0"/>
        <v>3- Baseline Portfolio&amp;</v>
      </c>
      <c r="B61" s="6" t="str">
        <f>'Scenario List'!$A$5</f>
        <v>3- Baseline Portfolio</v>
      </c>
      <c r="D61" s="8">
        <v>652.82849883623476</v>
      </c>
      <c r="E61" s="8">
        <v>320.48969637197138</v>
      </c>
      <c r="F61" s="8">
        <v>973.31819520820613</v>
      </c>
      <c r="G61" s="8">
        <v>245.7005583861596</v>
      </c>
      <c r="H61" s="8">
        <v>129.92621154689022</v>
      </c>
      <c r="I61" s="8">
        <v>375.62676993304979</v>
      </c>
      <c r="J61" s="8">
        <v>0.11375893776487721</v>
      </c>
      <c r="K61" s="8">
        <v>0.10374609912019557</v>
      </c>
      <c r="L61" s="8">
        <v>1.708151861989677E-13</v>
      </c>
      <c r="M61" s="8">
        <v>5.9785315169638691E-13</v>
      </c>
      <c r="N61" s="8">
        <v>0</v>
      </c>
      <c r="O61" s="8">
        <v>-5.9685589803848416E-13</v>
      </c>
      <c r="P61" s="8">
        <v>2.646920458106508</v>
      </c>
      <c r="Q61" s="8">
        <v>3.0189758845214847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5738.7007268434072</v>
      </c>
      <c r="Y61" s="8">
        <v>3475.0272683816693</v>
      </c>
      <c r="AA61" s="8">
        <v>660.33799375290357</v>
      </c>
      <c r="AB61" s="8">
        <v>324.24904823903557</v>
      </c>
      <c r="AC61" s="8">
        <v>984.58704199193915</v>
      </c>
      <c r="AD61" s="8">
        <v>254.70598335861018</v>
      </c>
      <c r="AE61" s="8">
        <v>133.68556341395433</v>
      </c>
      <c r="AF61" s="8">
        <v>388.39154677256454</v>
      </c>
      <c r="AG61" s="12">
        <v>0.11506750834106047</v>
      </c>
      <c r="AH61" s="12">
        <v>0.10496304336471651</v>
      </c>
      <c r="AI61" s="8">
        <v>3.4163037239793541E-13</v>
      </c>
      <c r="AJ61" s="8">
        <v>5.1244555859690311E-13</v>
      </c>
      <c r="AK61" s="8">
        <v>-3.4106051316484809E-13</v>
      </c>
      <c r="AL61" s="8">
        <v>5.1159076974727213E-13</v>
      </c>
      <c r="AM61" s="25">
        <v>2.7008660276865859</v>
      </c>
      <c r="AN61" s="25">
        <v>3.0729214541015626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5738.7007268434072</v>
      </c>
      <c r="AV61" s="8">
        <v>3475.0272683816693</v>
      </c>
      <c r="AX61" s="8">
        <v>641.88170303938432</v>
      </c>
      <c r="AY61" s="8">
        <v>314.6203045883874</v>
      </c>
      <c r="AZ61" s="8">
        <v>956.50200762777172</v>
      </c>
      <c r="BA61" s="8">
        <v>234.22923552448071</v>
      </c>
      <c r="BB61" s="8">
        <v>124.05681976330624</v>
      </c>
      <c r="BC61" s="8">
        <v>358.28605528778695</v>
      </c>
      <c r="BD61" s="8">
        <v>0.11185139870370164</v>
      </c>
      <c r="BE61" s="8">
        <v>0.10184611135569588</v>
      </c>
      <c r="BF61" s="8">
        <v>3.4163037239793541E-13</v>
      </c>
      <c r="BG61" s="8">
        <v>1.9928438389879564E-13</v>
      </c>
      <c r="BH61" s="8">
        <v>-3.4106051316484809E-13</v>
      </c>
      <c r="BI61" s="8">
        <v>1.9895196601282805E-13</v>
      </c>
      <c r="BJ61" s="8">
        <v>2.6453964681162736</v>
      </c>
      <c r="BK61" s="8">
        <v>3.0174518945312503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5738.7007268434072</v>
      </c>
      <c r="BS61" s="8">
        <v>3475.0272683816693</v>
      </c>
      <c r="BU61" s="8">
        <v>649.88251505755022</v>
      </c>
      <c r="BV61" s="8">
        <v>318.89546878415371</v>
      </c>
      <c r="BW61" s="8">
        <v>968.77798384170387</v>
      </c>
      <c r="BX61" s="8">
        <v>245.7587860922406</v>
      </c>
      <c r="BY61" s="8">
        <v>128.33198395907255</v>
      </c>
      <c r="BZ61" s="8">
        <v>374.09077005131314</v>
      </c>
      <c r="CA61" s="8">
        <v>0.11324558397298067</v>
      </c>
      <c r="CB61" s="8">
        <v>0.10323002981993976</v>
      </c>
      <c r="CC61" s="8">
        <v>1.1387679079931181E-13</v>
      </c>
      <c r="CD61" s="8">
        <v>3.1316117469810747E-13</v>
      </c>
      <c r="CE61" s="8">
        <v>0</v>
      </c>
      <c r="CF61" s="8">
        <v>3.1263880373444408E-13</v>
      </c>
      <c r="CG61" s="8">
        <v>2.7647525616221329</v>
      </c>
      <c r="CH61" s="8">
        <v>3.1368079880371096</v>
      </c>
      <c r="CI61" s="8">
        <v>0</v>
      </c>
      <c r="CJ61" s="8">
        <v>0</v>
      </c>
      <c r="CK61" s="8">
        <v>0</v>
      </c>
      <c r="CL61" s="8">
        <v>0</v>
      </c>
      <c r="CM61" s="8">
        <v>0</v>
      </c>
      <c r="CN61" s="8">
        <v>0</v>
      </c>
      <c r="CO61" s="8">
        <v>5738.7007268434072</v>
      </c>
      <c r="CP61" s="8">
        <v>3475.0272683816693</v>
      </c>
    </row>
    <row r="62" spans="1:94" x14ac:dyDescent="0.2">
      <c r="A62" s="6" t="str">
        <f t="shared" si="0"/>
        <v>3- Baseline Portfolio&amp;</v>
      </c>
      <c r="B62" s="6" t="str">
        <f>'Scenario List'!$A$5</f>
        <v>3- Baseline Portfolio</v>
      </c>
      <c r="D62" s="8">
        <v>655.80095828850585</v>
      </c>
      <c r="E62" s="8">
        <v>320.6165153577972</v>
      </c>
      <c r="F62" s="8">
        <v>976.41747364630305</v>
      </c>
      <c r="G62" s="8">
        <v>231.91974892697081</v>
      </c>
      <c r="H62" s="8">
        <v>125.65003167111267</v>
      </c>
      <c r="I62" s="8">
        <v>357.56978059808347</v>
      </c>
      <c r="J62" s="8">
        <v>0.11326784014698438</v>
      </c>
      <c r="K62" s="8">
        <v>0.10346761399327858</v>
      </c>
      <c r="L62" s="8">
        <v>1.2811138964922578E-13</v>
      </c>
      <c r="M62" s="8">
        <v>2.4198818044853759E-13</v>
      </c>
      <c r="N62" s="8">
        <v>-1.2789769243681803E-13</v>
      </c>
      <c r="O62" s="8">
        <v>2.4158453015843406E-13</v>
      </c>
      <c r="P62" s="8">
        <v>2.6337522415854888</v>
      </c>
      <c r="Q62" s="8">
        <v>3.1475543693847658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5789.8248738343736</v>
      </c>
      <c r="Y62" s="8">
        <v>3486.4740129106776</v>
      </c>
      <c r="AA62" s="8">
        <v>666.81787761318287</v>
      </c>
      <c r="AB62" s="8">
        <v>326.1735486675264</v>
      </c>
      <c r="AC62" s="8">
        <v>992.99142628070922</v>
      </c>
      <c r="AD62" s="8">
        <v>243.96002306065262</v>
      </c>
      <c r="AE62" s="8">
        <v>131.20706498084184</v>
      </c>
      <c r="AF62" s="8">
        <v>375.16708804149448</v>
      </c>
      <c r="AG62" s="12">
        <v>0.11517064715146999</v>
      </c>
      <c r="AH62" s="12">
        <v>0.10526094948879167</v>
      </c>
      <c r="AI62" s="8">
        <v>1.708151861989677E-13</v>
      </c>
      <c r="AJ62" s="8">
        <v>3.5586497124784937E-13</v>
      </c>
      <c r="AK62" s="8">
        <v>0</v>
      </c>
      <c r="AL62" s="8">
        <v>-3.5527136788005009E-13</v>
      </c>
      <c r="AM62" s="25">
        <v>2.6071475899741605</v>
      </c>
      <c r="AN62" s="25">
        <v>3.1209497177734375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5789.8248738343736</v>
      </c>
      <c r="AV62" s="8">
        <v>3486.4740129106776</v>
      </c>
      <c r="AX62" s="8">
        <v>649.67322723041366</v>
      </c>
      <c r="AY62" s="8">
        <v>317.47503444023005</v>
      </c>
      <c r="AZ62" s="8">
        <v>967.14826167064371</v>
      </c>
      <c r="BA62" s="8">
        <v>224.24038249758121</v>
      </c>
      <c r="BB62" s="8">
        <v>122.50855075354548</v>
      </c>
      <c r="BC62" s="8">
        <v>346.74893325112669</v>
      </c>
      <c r="BD62" s="8">
        <v>0.11220947807358474</v>
      </c>
      <c r="BE62" s="8">
        <v>0.10245381239736469</v>
      </c>
      <c r="BF62" s="8">
        <v>7.9713753559518255E-13</v>
      </c>
      <c r="BG62" s="8">
        <v>3.1316117469810747E-13</v>
      </c>
      <c r="BH62" s="8">
        <v>-7.9580786405131221E-13</v>
      </c>
      <c r="BI62" s="8">
        <v>3.1263880373444408E-13</v>
      </c>
      <c r="BJ62" s="8">
        <v>2.542842938851114</v>
      </c>
      <c r="BK62" s="8">
        <v>3.056645066650391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5789.8248738343736</v>
      </c>
      <c r="BS62" s="8">
        <v>3486.4740129106776</v>
      </c>
      <c r="BU62" s="8">
        <v>660.46999049200417</v>
      </c>
      <c r="BV62" s="8">
        <v>323.30226848238095</v>
      </c>
      <c r="BW62" s="8">
        <v>983.77225897438507</v>
      </c>
      <c r="BX62" s="8">
        <v>238.15952654074559</v>
      </c>
      <c r="BY62" s="8">
        <v>128.33578479569638</v>
      </c>
      <c r="BZ62" s="8">
        <v>366.495311336442</v>
      </c>
      <c r="CA62" s="8">
        <v>0.11407426042829527</v>
      </c>
      <c r="CB62" s="8">
        <v>0.10433434560024388</v>
      </c>
      <c r="CC62" s="8">
        <v>7.4019914019552668E-13</v>
      </c>
      <c r="CD62" s="8">
        <v>4.2703796549741926E-13</v>
      </c>
      <c r="CE62" s="8">
        <v>-7.3896444519050419E-13</v>
      </c>
      <c r="CF62" s="8">
        <v>-4.2632564145606011E-13</v>
      </c>
      <c r="CG62" s="8">
        <v>2.6312618524253324</v>
      </c>
      <c r="CH62" s="8">
        <v>3.1450639802246094</v>
      </c>
      <c r="CI62" s="8">
        <v>0</v>
      </c>
      <c r="CJ62" s="8">
        <v>0</v>
      </c>
      <c r="CK62" s="8">
        <v>0</v>
      </c>
      <c r="CL62" s="8">
        <v>0</v>
      </c>
      <c r="CM62" s="8">
        <v>0</v>
      </c>
      <c r="CN62" s="8">
        <v>0</v>
      </c>
      <c r="CO62" s="8">
        <v>5789.8248738343736</v>
      </c>
      <c r="CP62" s="8">
        <v>3486.4740129106776</v>
      </c>
    </row>
    <row r="63" spans="1:94" x14ac:dyDescent="0.2">
      <c r="A63" s="6" t="str">
        <f t="shared" si="0"/>
        <v>3- Baseline Portfolio&amp;</v>
      </c>
      <c r="B63" s="6" t="str">
        <f>'Scenario List'!$A$5</f>
        <v>3- Baseline Portfolio</v>
      </c>
      <c r="D63" s="8">
        <v>683.41422053232986</v>
      </c>
      <c r="E63" s="8">
        <v>330.44684805730151</v>
      </c>
      <c r="F63" s="8">
        <v>1013.8610685896314</v>
      </c>
      <c r="G63" s="8">
        <v>237.61241735021821</v>
      </c>
      <c r="H63" s="8">
        <v>127.94080492864617</v>
      </c>
      <c r="I63" s="8">
        <v>365.55322227886438</v>
      </c>
      <c r="J63" s="8">
        <v>0.11732842632724738</v>
      </c>
      <c r="K63" s="8">
        <v>0.10633385554161601</v>
      </c>
      <c r="L63" s="8">
        <v>4.2703796549741926E-13</v>
      </c>
      <c r="M63" s="8">
        <v>3.8433416894767731E-13</v>
      </c>
      <c r="N63" s="8">
        <v>-4.2632564145606011E-13</v>
      </c>
      <c r="O63" s="8">
        <v>-3.836930773104541E-13</v>
      </c>
      <c r="P63" s="8">
        <v>2.3670954807713254</v>
      </c>
      <c r="Q63" s="8">
        <v>2.8186615239257815</v>
      </c>
      <c r="R63" s="8">
        <v>0.4337254329704559</v>
      </c>
      <c r="S63" s="8">
        <v>0</v>
      </c>
      <c r="T63" s="8">
        <v>0.4337254329704559</v>
      </c>
      <c r="U63" s="8">
        <v>0</v>
      </c>
      <c r="V63" s="8">
        <v>0</v>
      </c>
      <c r="W63" s="8">
        <v>0</v>
      </c>
      <c r="X63" s="8">
        <v>5824.7966151542887</v>
      </c>
      <c r="Y63" s="8">
        <v>3498.6912336044452</v>
      </c>
      <c r="AA63" s="8">
        <v>690.83725645206403</v>
      </c>
      <c r="AB63" s="8">
        <v>333.94634750065359</v>
      </c>
      <c r="AC63" s="8">
        <v>1024.7836039527176</v>
      </c>
      <c r="AD63" s="8">
        <v>247.33963015468183</v>
      </c>
      <c r="AE63" s="8">
        <v>131.44030437199828</v>
      </c>
      <c r="AF63" s="8">
        <v>378.77993452668011</v>
      </c>
      <c r="AG63" s="12">
        <v>0.11860281175392851</v>
      </c>
      <c r="AH63" s="12">
        <v>0.10745995273535544</v>
      </c>
      <c r="AI63" s="8">
        <v>2.5622277929845155E-13</v>
      </c>
      <c r="AJ63" s="8">
        <v>4.6974176204716121E-13</v>
      </c>
      <c r="AK63" s="8">
        <v>2.5579538487363607E-13</v>
      </c>
      <c r="AL63" s="8">
        <v>4.6895820560166612E-13</v>
      </c>
      <c r="AM63" s="25">
        <v>2.4347254199803099</v>
      </c>
      <c r="AN63" s="25">
        <v>2.886291463134766</v>
      </c>
      <c r="AO63" s="8">
        <v>0.4337254329704559</v>
      </c>
      <c r="AP63" s="8">
        <v>0</v>
      </c>
      <c r="AQ63" s="8">
        <v>0.4337254329704559</v>
      </c>
      <c r="AR63" s="8">
        <v>0</v>
      </c>
      <c r="AS63" s="8">
        <v>0</v>
      </c>
      <c r="AT63" s="8">
        <v>0</v>
      </c>
      <c r="AU63" s="8">
        <v>5824.7966151542887</v>
      </c>
      <c r="AV63" s="8">
        <v>3498.6912336044452</v>
      </c>
      <c r="AX63" s="8">
        <v>672.64260626700911</v>
      </c>
      <c r="AY63" s="8">
        <v>324.76460858494147</v>
      </c>
      <c r="AZ63" s="8">
        <v>997.40721485195058</v>
      </c>
      <c r="BA63" s="8">
        <v>225.36188126897579</v>
      </c>
      <c r="BB63" s="8">
        <v>122.25856545628615</v>
      </c>
      <c r="BC63" s="8">
        <v>347.62044672526196</v>
      </c>
      <c r="BD63" s="8">
        <v>0.11547915759273115</v>
      </c>
      <c r="BE63" s="8">
        <v>0.10450537863297252</v>
      </c>
      <c r="BF63" s="8">
        <v>5.2668015744681708E-13</v>
      </c>
      <c r="BG63" s="8">
        <v>4.2703796549741926E-14</v>
      </c>
      <c r="BH63" s="8">
        <v>-5.2580162446247414E-13</v>
      </c>
      <c r="BI63" s="8">
        <v>0</v>
      </c>
      <c r="BJ63" s="8">
        <v>2.3252073166520812</v>
      </c>
      <c r="BK63" s="8">
        <v>2.7767733598065374</v>
      </c>
      <c r="BL63" s="8">
        <v>0.4337254329704559</v>
      </c>
      <c r="BM63" s="8">
        <v>0</v>
      </c>
      <c r="BN63" s="8">
        <v>0.4337254329704559</v>
      </c>
      <c r="BO63" s="8">
        <v>0</v>
      </c>
      <c r="BP63" s="8">
        <v>0</v>
      </c>
      <c r="BQ63" s="8">
        <v>0</v>
      </c>
      <c r="BR63" s="8">
        <v>5824.7966151542887</v>
      </c>
      <c r="BS63" s="8">
        <v>3498.6912336044452</v>
      </c>
      <c r="BU63" s="8">
        <v>681.66502873379659</v>
      </c>
      <c r="BV63" s="8">
        <v>329.49799873047436</v>
      </c>
      <c r="BW63" s="8">
        <v>1011.163027464271</v>
      </c>
      <c r="BX63" s="8">
        <v>239.0860752911471</v>
      </c>
      <c r="BY63" s="8">
        <v>126.99195560181909</v>
      </c>
      <c r="BZ63" s="8">
        <v>366.07803089296618</v>
      </c>
      <c r="CA63" s="8">
        <v>0.11702812540446796</v>
      </c>
      <c r="CB63" s="8">
        <v>0.10602852714207836</v>
      </c>
      <c r="CC63" s="8">
        <v>4.5550716319724724E-13</v>
      </c>
      <c r="CD63" s="8">
        <v>5.1244555859690311E-13</v>
      </c>
      <c r="CE63" s="8">
        <v>-4.5474735088646412E-13</v>
      </c>
      <c r="CF63" s="8">
        <v>-5.1159076974727213E-13</v>
      </c>
      <c r="CG63" s="8">
        <v>2.5135766315934878</v>
      </c>
      <c r="CH63" s="8">
        <v>2.9651426747479439</v>
      </c>
      <c r="CI63" s="8">
        <v>0.4337254329704559</v>
      </c>
      <c r="CJ63" s="8">
        <v>0</v>
      </c>
      <c r="CK63" s="8">
        <v>0.4337254329704559</v>
      </c>
      <c r="CL63" s="8">
        <v>0</v>
      </c>
      <c r="CM63" s="8">
        <v>0</v>
      </c>
      <c r="CN63" s="8">
        <v>0</v>
      </c>
      <c r="CO63" s="8">
        <v>5824.7966151542887</v>
      </c>
      <c r="CP63" s="8">
        <v>3498.6912336044452</v>
      </c>
    </row>
    <row r="64" spans="1:94" x14ac:dyDescent="0.2">
      <c r="A64" s="6" t="str">
        <f t="shared" si="0"/>
        <v>3- Baseline Portfolio&amp;</v>
      </c>
      <c r="B64" s="6" t="str">
        <f>'Scenario List'!$A$5</f>
        <v>3- Baseline Portfolio</v>
      </c>
      <c r="D64" s="8">
        <v>693.91377146659022</v>
      </c>
      <c r="E64" s="8">
        <v>341.26419235871157</v>
      </c>
      <c r="F64" s="8">
        <v>1035.1779638253017</v>
      </c>
      <c r="G64" s="8">
        <v>211.63790573384253</v>
      </c>
      <c r="H64" s="8">
        <v>130.85002270614731</v>
      </c>
      <c r="I64" s="8">
        <v>342.48792843998984</v>
      </c>
      <c r="J64" s="8">
        <v>0.11977100161892582</v>
      </c>
      <c r="K64" s="8">
        <v>0.11073967985070403</v>
      </c>
      <c r="L64" s="8">
        <v>5.1244555859690311E-13</v>
      </c>
      <c r="M64" s="8">
        <v>4.2703796549741926E-13</v>
      </c>
      <c r="N64" s="8">
        <v>-5.1159076974727213E-13</v>
      </c>
      <c r="O64" s="8">
        <v>-4.2632564145606011E-13</v>
      </c>
      <c r="P64" s="8">
        <v>1.3491129750168271</v>
      </c>
      <c r="Q64" s="8">
        <v>1.4832570693359375</v>
      </c>
      <c r="R64" s="8">
        <v>1.3990557965225998</v>
      </c>
      <c r="S64" s="8">
        <v>0</v>
      </c>
      <c r="T64" s="8">
        <v>1.3990557965225998</v>
      </c>
      <c r="U64" s="8">
        <v>0</v>
      </c>
      <c r="V64" s="8">
        <v>0</v>
      </c>
      <c r="W64" s="8">
        <v>0</v>
      </c>
      <c r="X64" s="8">
        <v>5793.6709394349782</v>
      </c>
      <c r="Y64" s="8">
        <v>3474.0383743474008</v>
      </c>
      <c r="AA64" s="8">
        <v>706.413500161098</v>
      </c>
      <c r="AB64" s="8">
        <v>347.48751021014994</v>
      </c>
      <c r="AC64" s="8">
        <v>1053.901010371248</v>
      </c>
      <c r="AD64" s="8">
        <v>224.14755515964262</v>
      </c>
      <c r="AE64" s="8">
        <v>137.07334055758565</v>
      </c>
      <c r="AF64" s="8">
        <v>361.22089571722825</v>
      </c>
      <c r="AG64" s="12">
        <v>0.12192848153540288</v>
      </c>
      <c r="AH64" s="12">
        <v>0.11275913645326799</v>
      </c>
      <c r="AI64" s="8">
        <v>6.2632234939621495E-13</v>
      </c>
      <c r="AJ64" s="8">
        <v>1.4234598849913974E-13</v>
      </c>
      <c r="AK64" s="8">
        <v>6.2527760746888816E-13</v>
      </c>
      <c r="AL64" s="8">
        <v>1.4210854715202004E-13</v>
      </c>
      <c r="AM64" s="25">
        <v>1.2917070411789364</v>
      </c>
      <c r="AN64" s="25">
        <v>1.4258511354980468</v>
      </c>
      <c r="AO64" s="8">
        <v>1.3990557965225998</v>
      </c>
      <c r="AP64" s="8">
        <v>0</v>
      </c>
      <c r="AQ64" s="8">
        <v>1.3990557965225998</v>
      </c>
      <c r="AR64" s="8">
        <v>0</v>
      </c>
      <c r="AS64" s="8">
        <v>0</v>
      </c>
      <c r="AT64" s="8">
        <v>0</v>
      </c>
      <c r="AU64" s="8">
        <v>5793.6709394349782</v>
      </c>
      <c r="AV64" s="8">
        <v>3474.0383743474008</v>
      </c>
      <c r="AX64" s="8">
        <v>661.61989279750412</v>
      </c>
      <c r="AY64" s="8">
        <v>324.03905506454112</v>
      </c>
      <c r="AZ64" s="8">
        <v>985.65894786204524</v>
      </c>
      <c r="BA64" s="8">
        <v>179.19676942583521</v>
      </c>
      <c r="BB64" s="8">
        <v>113.62488541197685</v>
      </c>
      <c r="BC64" s="8">
        <v>292.82165483781205</v>
      </c>
      <c r="BD64" s="8">
        <v>0.11419700906624633</v>
      </c>
      <c r="BE64" s="8">
        <v>0.10515015058847241</v>
      </c>
      <c r="BF64" s="8">
        <v>8.2560673329501058E-13</v>
      </c>
      <c r="BG64" s="8">
        <v>1.4234598849913974E-13</v>
      </c>
      <c r="BH64" s="8">
        <v>8.2422957348171622E-13</v>
      </c>
      <c r="BI64" s="8">
        <v>-1.4210854715202004E-13</v>
      </c>
      <c r="BJ64" s="8">
        <v>1.4435853465988582</v>
      </c>
      <c r="BK64" s="8">
        <v>1.5777294409179687</v>
      </c>
      <c r="BL64" s="8">
        <v>1.3990557965225998</v>
      </c>
      <c r="BM64" s="8">
        <v>0</v>
      </c>
      <c r="BN64" s="8">
        <v>1.3990557965225998</v>
      </c>
      <c r="BO64" s="8">
        <v>0</v>
      </c>
      <c r="BP64" s="8">
        <v>0</v>
      </c>
      <c r="BQ64" s="8">
        <v>0</v>
      </c>
      <c r="BR64" s="8">
        <v>5793.6709394349782</v>
      </c>
      <c r="BS64" s="8">
        <v>3474.0383743474008</v>
      </c>
      <c r="BU64" s="8">
        <v>692.74341408778469</v>
      </c>
      <c r="BV64" s="8">
        <v>340.58108183380278</v>
      </c>
      <c r="BW64" s="8">
        <v>1033.3244959215874</v>
      </c>
      <c r="BX64" s="8">
        <v>210.42701644906222</v>
      </c>
      <c r="BY64" s="8">
        <v>130.1669121812385</v>
      </c>
      <c r="BZ64" s="8">
        <v>340.59392863030075</v>
      </c>
      <c r="CA64" s="8">
        <v>0.11956899543130486</v>
      </c>
      <c r="CB64" s="8">
        <v>0.1105180115874497</v>
      </c>
      <c r="CC64" s="8">
        <v>1.1387679079931181E-13</v>
      </c>
      <c r="CD64" s="8">
        <v>5.9785315169638691E-13</v>
      </c>
      <c r="CE64" s="8">
        <v>0</v>
      </c>
      <c r="CF64" s="8">
        <v>-5.9685589803848416E-13</v>
      </c>
      <c r="CG64" s="8">
        <v>1.3228753661301083</v>
      </c>
      <c r="CH64" s="8">
        <v>1.4570194604492186</v>
      </c>
      <c r="CI64" s="8">
        <v>1.3990557965225998</v>
      </c>
      <c r="CJ64" s="8">
        <v>0</v>
      </c>
      <c r="CK64" s="8">
        <v>1.3990557965225998</v>
      </c>
      <c r="CL64" s="8">
        <v>0</v>
      </c>
      <c r="CM64" s="8">
        <v>0</v>
      </c>
      <c r="CN64" s="8">
        <v>0</v>
      </c>
      <c r="CO64" s="8">
        <v>5793.6709394349782</v>
      </c>
      <c r="CP64" s="8">
        <v>3474.0383743474008</v>
      </c>
    </row>
    <row r="65" spans="1:94" x14ac:dyDescent="0.2">
      <c r="A65" s="6" t="str">
        <f t="shared" si="0"/>
        <v>3- Baseline Portfolio&amp;</v>
      </c>
      <c r="B65" s="6" t="str">
        <f>'Scenario List'!$A$5</f>
        <v>3- Baseline Portfolio</v>
      </c>
      <c r="D65" s="8">
        <v>712.31958840539392</v>
      </c>
      <c r="E65" s="8">
        <v>344.69694104267296</v>
      </c>
      <c r="F65" s="8">
        <v>1057.0165294480669</v>
      </c>
      <c r="G65" s="8">
        <v>209.9192728852633</v>
      </c>
      <c r="H65" s="8">
        <v>125.9869159286751</v>
      </c>
      <c r="I65" s="8">
        <v>335.9061888139384</v>
      </c>
      <c r="J65" s="8">
        <v>0.12213942619841306</v>
      </c>
      <c r="K65" s="8">
        <v>0.11107768524150992</v>
      </c>
      <c r="L65" s="8">
        <v>5.4091475629673104E-13</v>
      </c>
      <c r="M65" s="8">
        <v>2.2775358159862362E-13</v>
      </c>
      <c r="N65" s="8">
        <v>5.4001247917767614E-13</v>
      </c>
      <c r="O65" s="8">
        <v>2.2737367544323206E-13</v>
      </c>
      <c r="P65" s="8">
        <v>1.6076518423551296</v>
      </c>
      <c r="Q65" s="8">
        <v>1.5073329108886719</v>
      </c>
      <c r="R65" s="8">
        <v>3.0856545396681039</v>
      </c>
      <c r="S65" s="8">
        <v>0</v>
      </c>
      <c r="T65" s="8">
        <v>3.0856545396681043</v>
      </c>
      <c r="U65" s="8">
        <v>0</v>
      </c>
      <c r="V65" s="8">
        <v>0</v>
      </c>
      <c r="W65" s="8">
        <v>0</v>
      </c>
      <c r="X65" s="8">
        <v>5832.0200984753683</v>
      </c>
      <c r="Y65" s="8">
        <v>3494.4829570790039</v>
      </c>
      <c r="AA65" s="8">
        <v>727.03914831603186</v>
      </c>
      <c r="AB65" s="8">
        <v>352.25794548234086</v>
      </c>
      <c r="AC65" s="8">
        <v>1079.2970937983728</v>
      </c>
      <c r="AD65" s="8">
        <v>224.46388423261953</v>
      </c>
      <c r="AE65" s="8">
        <v>133.547920368343</v>
      </c>
      <c r="AF65" s="8">
        <v>358.01180460096253</v>
      </c>
      <c r="AG65" s="12">
        <v>0.12466334752620238</v>
      </c>
      <c r="AH65" s="12">
        <v>0.11351419909254265</v>
      </c>
      <c r="AI65" s="8">
        <v>5.9785315169638691E-13</v>
      </c>
      <c r="AJ65" s="8">
        <v>3.5586497124784937E-13</v>
      </c>
      <c r="AK65" s="8">
        <v>-5.9685589803848416E-13</v>
      </c>
      <c r="AL65" s="8">
        <v>3.5527136788005009E-13</v>
      </c>
      <c r="AM65" s="25">
        <v>1.5048574357389188</v>
      </c>
      <c r="AN65" s="25">
        <v>1.4045385042724612</v>
      </c>
      <c r="AO65" s="8">
        <v>3.0856545396681039</v>
      </c>
      <c r="AP65" s="8">
        <v>0</v>
      </c>
      <c r="AQ65" s="8">
        <v>3.0856545396681043</v>
      </c>
      <c r="AR65" s="8">
        <v>0</v>
      </c>
      <c r="AS65" s="8">
        <v>0</v>
      </c>
      <c r="AT65" s="8">
        <v>0</v>
      </c>
      <c r="AU65" s="8">
        <v>5832.0200984753683</v>
      </c>
      <c r="AV65" s="8">
        <v>3494.4829570790039</v>
      </c>
      <c r="AX65" s="8">
        <v>683.8633551997026</v>
      </c>
      <c r="AY65" s="8">
        <v>329.57897676391832</v>
      </c>
      <c r="AZ65" s="8">
        <v>1013.442331963621</v>
      </c>
      <c r="BA65" s="8">
        <v>181.25786601445654</v>
      </c>
      <c r="BB65" s="8">
        <v>110.86895164992045</v>
      </c>
      <c r="BC65" s="8">
        <v>292.12681766437697</v>
      </c>
      <c r="BD65" s="8">
        <v>0.11726011633232901</v>
      </c>
      <c r="BE65" s="8">
        <v>0.10620596090137424</v>
      </c>
      <c r="BF65" s="8">
        <v>2.1351898274870963E-13</v>
      </c>
      <c r="BG65" s="8">
        <v>4.5550716319724724E-13</v>
      </c>
      <c r="BH65" s="8">
        <v>2.1316282072803006E-13</v>
      </c>
      <c r="BI65" s="8">
        <v>4.5474735088646412E-13</v>
      </c>
      <c r="BJ65" s="8">
        <v>1.68507970588052</v>
      </c>
      <c r="BK65" s="8">
        <v>1.5847607744140624</v>
      </c>
      <c r="BL65" s="8">
        <v>3.0856545396681039</v>
      </c>
      <c r="BM65" s="8">
        <v>0</v>
      </c>
      <c r="BN65" s="8">
        <v>3.0856545396681043</v>
      </c>
      <c r="BO65" s="8">
        <v>0</v>
      </c>
      <c r="BP65" s="8">
        <v>0</v>
      </c>
      <c r="BQ65" s="8">
        <v>0</v>
      </c>
      <c r="BR65" s="8">
        <v>5832.0200984753683</v>
      </c>
      <c r="BS65" s="8">
        <v>3494.4829570790039</v>
      </c>
      <c r="BU65" s="8">
        <v>715.22256549343297</v>
      </c>
      <c r="BV65" s="8">
        <v>346.1852451164749</v>
      </c>
      <c r="BW65" s="8">
        <v>1061.4078106099078</v>
      </c>
      <c r="BX65" s="8">
        <v>212.45102356488397</v>
      </c>
      <c r="BY65" s="8">
        <v>127.47522000247706</v>
      </c>
      <c r="BZ65" s="8">
        <v>339.92624356736104</v>
      </c>
      <c r="CA65" s="8">
        <v>0.12263719147339865</v>
      </c>
      <c r="CB65" s="8">
        <v>0.11155728732603483</v>
      </c>
      <c r="CC65" s="8">
        <v>2.8469197699827953E-14</v>
      </c>
      <c r="CD65" s="8">
        <v>7.5443373904544065E-13</v>
      </c>
      <c r="CE65" s="8">
        <v>0</v>
      </c>
      <c r="CF65" s="8">
        <v>-7.531752999057062E-13</v>
      </c>
      <c r="CG65" s="8">
        <v>1.5055496720670438</v>
      </c>
      <c r="CH65" s="8">
        <v>1.4052307406005862</v>
      </c>
      <c r="CI65" s="8">
        <v>3.0856545396681039</v>
      </c>
      <c r="CJ65" s="8">
        <v>0</v>
      </c>
      <c r="CK65" s="8">
        <v>3.0856545396681043</v>
      </c>
      <c r="CL65" s="8">
        <v>0</v>
      </c>
      <c r="CM65" s="8">
        <v>0</v>
      </c>
      <c r="CN65" s="8">
        <v>0</v>
      </c>
      <c r="CO65" s="8">
        <v>5832.0200984753683</v>
      </c>
      <c r="CP65" s="8">
        <v>3494.4829570790039</v>
      </c>
    </row>
    <row r="66" spans="1:94" x14ac:dyDescent="0.2">
      <c r="A66" s="6" t="str">
        <f t="shared" si="0"/>
        <v>3- Baseline Portfolio&amp;</v>
      </c>
      <c r="B66" s="6" t="str">
        <f>'Scenario List'!$A$5</f>
        <v>3- Baseline Portfolio</v>
      </c>
      <c r="D66" s="8">
        <v>741.56386071578868</v>
      </c>
      <c r="E66" s="8">
        <v>354.76102481789297</v>
      </c>
      <c r="F66" s="8">
        <v>1096.3248855336817</v>
      </c>
      <c r="G66" s="8">
        <v>216.22739967997043</v>
      </c>
      <c r="H66" s="8">
        <v>127.41149756413948</v>
      </c>
      <c r="I66" s="8">
        <v>343.6388972441099</v>
      </c>
      <c r="J66" s="8">
        <v>0.1262839066087548</v>
      </c>
      <c r="K66" s="8">
        <v>0.11356722704284258</v>
      </c>
      <c r="L66" s="8">
        <v>6.2632234939621495E-13</v>
      </c>
      <c r="M66" s="8">
        <v>5.6938395399655898E-13</v>
      </c>
      <c r="N66" s="8">
        <v>-6.2527760746888816E-13</v>
      </c>
      <c r="O66" s="8">
        <v>5.6843418860808015E-13</v>
      </c>
      <c r="P66" s="8">
        <v>1.5756040661085791</v>
      </c>
      <c r="Q66" s="8">
        <v>1.4196819521484376</v>
      </c>
      <c r="R66" s="8">
        <v>3.6546611726717537</v>
      </c>
      <c r="S66" s="8">
        <v>0</v>
      </c>
      <c r="T66" s="8">
        <v>3.6546611726717537</v>
      </c>
      <c r="U66" s="8">
        <v>0</v>
      </c>
      <c r="V66" s="8">
        <v>0</v>
      </c>
      <c r="W66" s="8">
        <v>0</v>
      </c>
      <c r="X66" s="8">
        <v>5872.1960749381724</v>
      </c>
      <c r="Y66" s="8">
        <v>3513.3508606421024</v>
      </c>
      <c r="AA66" s="8">
        <v>755.85182832320061</v>
      </c>
      <c r="AB66" s="8">
        <v>362.07182289576133</v>
      </c>
      <c r="AC66" s="8">
        <v>1117.9236512189618</v>
      </c>
      <c r="AD66" s="8">
        <v>230.45282796945332</v>
      </c>
      <c r="AE66" s="8">
        <v>134.72229564200779</v>
      </c>
      <c r="AF66" s="8">
        <v>365.17512361146112</v>
      </c>
      <c r="AG66" s="12">
        <v>0.12871706235237707</v>
      </c>
      <c r="AH66" s="12">
        <v>0.11590758296440935</v>
      </c>
      <c r="AI66" s="8">
        <v>5.6938395399655905E-14</v>
      </c>
      <c r="AJ66" s="8">
        <v>3.7009957009776334E-13</v>
      </c>
      <c r="AK66" s="8">
        <v>0</v>
      </c>
      <c r="AL66" s="8">
        <v>3.694822225952521E-13</v>
      </c>
      <c r="AM66" s="25">
        <v>1.4682630537794774</v>
      </c>
      <c r="AN66" s="25">
        <v>1.312340939819336</v>
      </c>
      <c r="AO66" s="8">
        <v>3.6546611726717537</v>
      </c>
      <c r="AP66" s="8">
        <v>0</v>
      </c>
      <c r="AQ66" s="8">
        <v>3.6546611726717537</v>
      </c>
      <c r="AR66" s="8">
        <v>0</v>
      </c>
      <c r="AS66" s="8">
        <v>0</v>
      </c>
      <c r="AT66" s="8">
        <v>0</v>
      </c>
      <c r="AU66" s="8">
        <v>5872.1960749381724</v>
      </c>
      <c r="AV66" s="8">
        <v>3513.3508606421024</v>
      </c>
      <c r="AX66" s="8">
        <v>710.615708738904</v>
      </c>
      <c r="AY66" s="8">
        <v>338.26409711041913</v>
      </c>
      <c r="AZ66" s="8">
        <v>1048.879805849323</v>
      </c>
      <c r="BA66" s="8">
        <v>185.14010407482627</v>
      </c>
      <c r="BB66" s="8">
        <v>110.91456985666565</v>
      </c>
      <c r="BC66" s="8">
        <v>296.05467393149195</v>
      </c>
      <c r="BD66" s="8">
        <v>0.12101362074262582</v>
      </c>
      <c r="BE66" s="8">
        <v>0.10828617810172579</v>
      </c>
      <c r="BF66" s="8">
        <v>3.1316117469810747E-13</v>
      </c>
      <c r="BG66" s="8">
        <v>4.9821095974698914E-13</v>
      </c>
      <c r="BH66" s="8">
        <v>3.1263880373444408E-13</v>
      </c>
      <c r="BI66" s="8">
        <v>-4.9737991503207013E-13</v>
      </c>
      <c r="BJ66" s="8">
        <v>1.6615258702293578</v>
      </c>
      <c r="BK66" s="8">
        <v>1.5056037562692164</v>
      </c>
      <c r="BL66" s="8">
        <v>3.6546611726717537</v>
      </c>
      <c r="BM66" s="8">
        <v>0</v>
      </c>
      <c r="BN66" s="8">
        <v>3.6546611726717537</v>
      </c>
      <c r="BO66" s="8">
        <v>0</v>
      </c>
      <c r="BP66" s="8">
        <v>0</v>
      </c>
      <c r="BQ66" s="8">
        <v>0</v>
      </c>
      <c r="BR66" s="8">
        <v>5872.1960749381724</v>
      </c>
      <c r="BS66" s="8">
        <v>3513.3508606421024</v>
      </c>
      <c r="BU66" s="8">
        <v>742.54964603840267</v>
      </c>
      <c r="BV66" s="8">
        <v>355.19941341138559</v>
      </c>
      <c r="BW66" s="8">
        <v>1097.7490594497883</v>
      </c>
      <c r="BX66" s="8">
        <v>216.7577396689706</v>
      </c>
      <c r="BY66" s="8">
        <v>127.84988615763207</v>
      </c>
      <c r="BZ66" s="8">
        <v>344.60762582660266</v>
      </c>
      <c r="CA66" s="8">
        <v>0.12645177997504467</v>
      </c>
      <c r="CB66" s="8">
        <v>0.11370756539301993</v>
      </c>
      <c r="CC66" s="8">
        <v>1.4234598849913974E-13</v>
      </c>
      <c r="CD66" s="8">
        <v>7.6866833789535461E-13</v>
      </c>
      <c r="CE66" s="8">
        <v>0</v>
      </c>
      <c r="CF66" s="8">
        <v>-7.673861546209082E-13</v>
      </c>
      <c r="CG66" s="8">
        <v>1.4810411778029149</v>
      </c>
      <c r="CH66" s="8">
        <v>1.3251190638427734</v>
      </c>
      <c r="CI66" s="8">
        <v>3.6546611726717537</v>
      </c>
      <c r="CJ66" s="8">
        <v>0</v>
      </c>
      <c r="CK66" s="8">
        <v>3.6546611726717537</v>
      </c>
      <c r="CL66" s="8">
        <v>0</v>
      </c>
      <c r="CM66" s="8">
        <v>0</v>
      </c>
      <c r="CN66" s="8">
        <v>0</v>
      </c>
      <c r="CO66" s="8">
        <v>5872.1960749381724</v>
      </c>
      <c r="CP66" s="8">
        <v>3513.3508606421024</v>
      </c>
    </row>
    <row r="67" spans="1:94" x14ac:dyDescent="0.2">
      <c r="A67" s="6" t="str">
        <f t="shared" si="0"/>
        <v>3- Baseline Portfolio&amp;</v>
      </c>
      <c r="B67" s="6" t="str">
        <f>'Scenario List'!$A$5</f>
        <v>3- Baseline Portfolio</v>
      </c>
      <c r="D67" s="8">
        <v>761.13023820610942</v>
      </c>
      <c r="E67" s="8">
        <v>362.61497591968737</v>
      </c>
      <c r="F67" s="8">
        <v>1123.7452141257968</v>
      </c>
      <c r="G67" s="8">
        <v>212.19419902688989</v>
      </c>
      <c r="H67" s="8">
        <v>126.26585675729388</v>
      </c>
      <c r="I67" s="8">
        <v>338.46005578418374</v>
      </c>
      <c r="J67" s="8">
        <v>0.12881826182936315</v>
      </c>
      <c r="K67" s="8">
        <v>0.11522511928585649</v>
      </c>
      <c r="L67" s="8">
        <v>4.8397636089707518E-13</v>
      </c>
      <c r="M67" s="8">
        <v>6.2632234939621495E-13</v>
      </c>
      <c r="N67" s="8">
        <v>-4.8316906031686813E-13</v>
      </c>
      <c r="O67" s="8">
        <v>6.2527760746888816E-13</v>
      </c>
      <c r="P67" s="8">
        <v>1.6127725367399004</v>
      </c>
      <c r="Q67" s="8">
        <v>1.438779050048828</v>
      </c>
      <c r="R67" s="8">
        <v>3.8056307256595754</v>
      </c>
      <c r="S67" s="8">
        <v>0</v>
      </c>
      <c r="T67" s="8">
        <v>3.8056307256595767</v>
      </c>
      <c r="U67" s="8">
        <v>0</v>
      </c>
      <c r="V67" s="8">
        <v>0</v>
      </c>
      <c r="W67" s="8">
        <v>0</v>
      </c>
      <c r="X67" s="8">
        <v>5908.558518002108</v>
      </c>
      <c r="Y67" s="8">
        <v>3534.4216080775113</v>
      </c>
      <c r="AA67" s="8">
        <v>776.93312058652054</v>
      </c>
      <c r="AB67" s="8">
        <v>370.8374767607512</v>
      </c>
      <c r="AC67" s="8">
        <v>1147.7705973472716</v>
      </c>
      <c r="AD67" s="8">
        <v>227.87171235507273</v>
      </c>
      <c r="AE67" s="8">
        <v>134.48835759835771</v>
      </c>
      <c r="AF67" s="8">
        <v>362.36006995343041</v>
      </c>
      <c r="AG67" s="12">
        <v>0.13149283674171497</v>
      </c>
      <c r="AH67" s="12">
        <v>0.11783791440783589</v>
      </c>
      <c r="AI67" s="8">
        <v>3.9856876779759127E-13</v>
      </c>
      <c r="AJ67" s="8">
        <v>7.4019914019552668E-13</v>
      </c>
      <c r="AK67" s="8">
        <v>-3.979039320256561E-13</v>
      </c>
      <c r="AL67" s="8">
        <v>-7.3896444519050419E-13</v>
      </c>
      <c r="AM67" s="25">
        <v>1.4676948139615804</v>
      </c>
      <c r="AN67" s="25">
        <v>1.293701327270508</v>
      </c>
      <c r="AO67" s="8">
        <v>3.8056307256595754</v>
      </c>
      <c r="AP67" s="8">
        <v>0</v>
      </c>
      <c r="AQ67" s="8">
        <v>3.8056307256595767</v>
      </c>
      <c r="AR67" s="8">
        <v>0</v>
      </c>
      <c r="AS67" s="8">
        <v>0</v>
      </c>
      <c r="AT67" s="8">
        <v>0</v>
      </c>
      <c r="AU67" s="8">
        <v>5908.558518002108</v>
      </c>
      <c r="AV67" s="8">
        <v>3534.4216080775113</v>
      </c>
      <c r="AX67" s="8">
        <v>731.63945756169778</v>
      </c>
      <c r="AY67" s="8">
        <v>346.80947620278903</v>
      </c>
      <c r="AZ67" s="8">
        <v>1078.4489337644868</v>
      </c>
      <c r="BA67" s="8">
        <v>182.73480391257581</v>
      </c>
      <c r="BB67" s="8">
        <v>110.46035704039549</v>
      </c>
      <c r="BC67" s="8">
        <v>293.19516095297132</v>
      </c>
      <c r="BD67" s="8">
        <v>0.12382706464403281</v>
      </c>
      <c r="BE67" s="8">
        <v>0.11020273821725016</v>
      </c>
      <c r="BF67" s="8">
        <v>1.1387679079931181E-13</v>
      </c>
      <c r="BG67" s="8">
        <v>4.4127256434733322E-13</v>
      </c>
      <c r="BH67" s="8">
        <v>-1.1368683772161603E-13</v>
      </c>
      <c r="BI67" s="8">
        <v>4.4053649617126212E-13</v>
      </c>
      <c r="BJ67" s="8">
        <v>1.7093658577848225</v>
      </c>
      <c r="BK67" s="8">
        <v>1.5353723710937501</v>
      </c>
      <c r="BL67" s="8">
        <v>3.8056307256595754</v>
      </c>
      <c r="BM67" s="8">
        <v>0</v>
      </c>
      <c r="BN67" s="8">
        <v>3.8056307256595767</v>
      </c>
      <c r="BO67" s="8">
        <v>0</v>
      </c>
      <c r="BP67" s="8">
        <v>0</v>
      </c>
      <c r="BQ67" s="8">
        <v>0</v>
      </c>
      <c r="BR67" s="8">
        <v>5908.558518002108</v>
      </c>
      <c r="BS67" s="8">
        <v>3534.4216080775113</v>
      </c>
      <c r="BU67" s="8">
        <v>764.62128164967885</v>
      </c>
      <c r="BV67" s="8">
        <v>364.34953651175567</v>
      </c>
      <c r="BW67" s="8">
        <v>1128.9708181614346</v>
      </c>
      <c r="BX67" s="8">
        <v>215.27836199690771</v>
      </c>
      <c r="BY67" s="8">
        <v>128.00041734936218</v>
      </c>
      <c r="BZ67" s="8">
        <v>343.27877934626986</v>
      </c>
      <c r="CA67" s="8">
        <v>0.12940910703008901</v>
      </c>
      <c r="CB67" s="8">
        <v>0.11577629605571468</v>
      </c>
      <c r="CC67" s="8">
        <v>4.8397636089707518E-13</v>
      </c>
      <c r="CD67" s="8">
        <v>4.4127256434733322E-13</v>
      </c>
      <c r="CE67" s="8">
        <v>4.8316906031686813E-13</v>
      </c>
      <c r="CF67" s="8">
        <v>4.4053649617126212E-13</v>
      </c>
      <c r="CG67" s="8">
        <v>1.4802236289029864</v>
      </c>
      <c r="CH67" s="8">
        <v>1.306230142211914</v>
      </c>
      <c r="CI67" s="8">
        <v>3.8056307256595754</v>
      </c>
      <c r="CJ67" s="8">
        <v>0</v>
      </c>
      <c r="CK67" s="8">
        <v>3.8056307256595767</v>
      </c>
      <c r="CL67" s="8">
        <v>0</v>
      </c>
      <c r="CM67" s="8">
        <v>0</v>
      </c>
      <c r="CN67" s="8">
        <v>0</v>
      </c>
      <c r="CO67" s="8">
        <v>5908.558518002108</v>
      </c>
      <c r="CP67" s="8">
        <v>3534.4216080775113</v>
      </c>
    </row>
    <row r="68" spans="1:94" x14ac:dyDescent="0.2">
      <c r="A68" s="6" t="str">
        <f t="shared" si="0"/>
        <v>3- Baseline Portfolio&amp;</v>
      </c>
      <c r="B68" s="6" t="str">
        <f>'Scenario List'!$A$5</f>
        <v>3- Baseline Portfolio</v>
      </c>
      <c r="D68" s="8">
        <v>789.75594395226744</v>
      </c>
      <c r="E68" s="8">
        <v>373.30815663528085</v>
      </c>
      <c r="F68" s="8">
        <v>1163.0641005875482</v>
      </c>
      <c r="G68" s="8">
        <v>213.84874131909245</v>
      </c>
      <c r="H68" s="8">
        <v>127.84234879277736</v>
      </c>
      <c r="I68" s="8">
        <v>341.69109011186981</v>
      </c>
      <c r="J68" s="8">
        <v>0.13286287484969841</v>
      </c>
      <c r="K68" s="8">
        <v>0.11804498627101134</v>
      </c>
      <c r="L68" s="8">
        <v>1.0818295125934621E-12</v>
      </c>
      <c r="M68" s="8">
        <v>4.4127256434733322E-13</v>
      </c>
      <c r="N68" s="8">
        <v>1.0800249583553523E-12</v>
      </c>
      <c r="O68" s="8">
        <v>-4.4053649617126212E-13</v>
      </c>
      <c r="P68" s="8">
        <v>1.4900104522393156</v>
      </c>
      <c r="Q68" s="8">
        <v>1.4836133218510152</v>
      </c>
      <c r="R68" s="8">
        <v>18.031075523875149</v>
      </c>
      <c r="S68" s="8">
        <v>0</v>
      </c>
      <c r="T68" s="8">
        <v>26.765008392180217</v>
      </c>
      <c r="U68" s="8">
        <v>0</v>
      </c>
      <c r="V68" s="8">
        <v>544.57297973632797</v>
      </c>
      <c r="W68" s="8">
        <v>0</v>
      </c>
      <c r="X68" s="8">
        <v>5944.1431238461582</v>
      </c>
      <c r="Y68" s="8">
        <v>3553.6844433251467</v>
      </c>
      <c r="AA68" s="8">
        <v>813.29789094528405</v>
      </c>
      <c r="AB68" s="8">
        <v>388.81189071858137</v>
      </c>
      <c r="AC68" s="8">
        <v>1202.1097816638653</v>
      </c>
      <c r="AD68" s="8">
        <v>236.7868098320678</v>
      </c>
      <c r="AE68" s="8">
        <v>143.34608287607779</v>
      </c>
      <c r="AF68" s="8">
        <v>380.13289270814562</v>
      </c>
      <c r="AG68" s="12">
        <v>0.13682340313822047</v>
      </c>
      <c r="AH68" s="12">
        <v>0.1229474724462616</v>
      </c>
      <c r="AI68" s="8">
        <v>5.6938395399655905E-14</v>
      </c>
      <c r="AJ68" s="8">
        <v>6.5479154709604278E-13</v>
      </c>
      <c r="AK68" s="8">
        <v>0</v>
      </c>
      <c r="AL68" s="8">
        <v>-6.5369931689929217E-13</v>
      </c>
      <c r="AM68" s="25">
        <v>1.2801536510181832</v>
      </c>
      <c r="AN68" s="25">
        <v>1.2737565206298829</v>
      </c>
      <c r="AO68" s="8">
        <v>18.031075523875149</v>
      </c>
      <c r="AP68" s="8">
        <v>0</v>
      </c>
      <c r="AQ68" s="8">
        <v>26.765008392180217</v>
      </c>
      <c r="AR68" s="8">
        <v>0</v>
      </c>
      <c r="AS68" s="8">
        <v>522.67822265625</v>
      </c>
      <c r="AT68" s="8">
        <v>0</v>
      </c>
      <c r="AU68" s="8">
        <v>5944.1431238461582</v>
      </c>
      <c r="AV68" s="8">
        <v>3553.6844433251467</v>
      </c>
      <c r="AX68" s="8">
        <v>763.29059338006891</v>
      </c>
      <c r="AY68" s="8">
        <v>357.6880963713715</v>
      </c>
      <c r="AZ68" s="8">
        <v>1120.9786897514405</v>
      </c>
      <c r="BA68" s="8">
        <v>187.37918720635287</v>
      </c>
      <c r="BB68" s="8">
        <v>112.22228852886799</v>
      </c>
      <c r="BC68" s="8">
        <v>299.60147573522084</v>
      </c>
      <c r="BD68" s="8">
        <v>0.12841053411348238</v>
      </c>
      <c r="BE68" s="8">
        <v>0.11310571621587832</v>
      </c>
      <c r="BF68" s="8">
        <v>4.9821095974698914E-13</v>
      </c>
      <c r="BG68" s="8">
        <v>5.9785315169638691E-13</v>
      </c>
      <c r="BH68" s="8">
        <v>-4.9737991503207013E-13</v>
      </c>
      <c r="BI68" s="8">
        <v>-5.9685589803848416E-13</v>
      </c>
      <c r="BJ68" s="8">
        <v>1.5866073847828315</v>
      </c>
      <c r="BK68" s="8">
        <v>1.5802102543945311</v>
      </c>
      <c r="BL68" s="8">
        <v>18.031075523875149</v>
      </c>
      <c r="BM68" s="8">
        <v>0</v>
      </c>
      <c r="BN68" s="8">
        <v>26.765008392180217</v>
      </c>
      <c r="BO68" s="8">
        <v>0</v>
      </c>
      <c r="BP68" s="8">
        <v>535.32996215820299</v>
      </c>
      <c r="BQ68" s="8">
        <v>0</v>
      </c>
      <c r="BR68" s="8">
        <v>5944.1431238461582</v>
      </c>
      <c r="BS68" s="8">
        <v>3553.6844433251467</v>
      </c>
      <c r="BU68" s="8">
        <v>787.95580823135833</v>
      </c>
      <c r="BV68" s="8">
        <v>372.36017476715051</v>
      </c>
      <c r="BW68" s="8">
        <v>1160.3159829985088</v>
      </c>
      <c r="BX68" s="8">
        <v>211.88268556086535</v>
      </c>
      <c r="BY68" s="8">
        <v>126.89436692464702</v>
      </c>
      <c r="BZ68" s="8">
        <v>338.7770524855124</v>
      </c>
      <c r="CA68" s="8">
        <v>0.13256003292893653</v>
      </c>
      <c r="CB68" s="8">
        <v>0.11774522184149221</v>
      </c>
      <c r="CC68" s="8">
        <v>5.6938395399655905E-14</v>
      </c>
      <c r="CD68" s="8">
        <v>9.9642191949397818E-14</v>
      </c>
      <c r="CE68" s="8">
        <v>0</v>
      </c>
      <c r="CF68" s="8">
        <v>0</v>
      </c>
      <c r="CG68" s="8">
        <v>1.3613041938648629</v>
      </c>
      <c r="CH68" s="8">
        <v>1.3549070634765625</v>
      </c>
      <c r="CI68" s="8">
        <v>18.031075523875149</v>
      </c>
      <c r="CJ68" s="8">
        <v>0</v>
      </c>
      <c r="CK68" s="8">
        <v>26.765008392180217</v>
      </c>
      <c r="CL68" s="8">
        <v>0</v>
      </c>
      <c r="CM68" s="8">
        <v>547.32813899999996</v>
      </c>
      <c r="CN68" s="8">
        <v>0</v>
      </c>
      <c r="CO68" s="8">
        <v>5944.1431238461582</v>
      </c>
      <c r="CP68" s="8">
        <v>3553.6844433251467</v>
      </c>
    </row>
    <row r="69" spans="1:94" x14ac:dyDescent="0.2">
      <c r="A69" s="6" t="str">
        <f t="shared" ref="A69:A132" si="69">B69&amp;"&amp;"&amp;C69</f>
        <v>3- Baseline Portfolio&amp;</v>
      </c>
      <c r="B69" s="6" t="str">
        <f>'Scenario List'!$A$5</f>
        <v>3- Baseline Portfolio</v>
      </c>
      <c r="D69" s="8">
        <v>826.43103521160822</v>
      </c>
      <c r="E69" s="8">
        <v>389.53654328937034</v>
      </c>
      <c r="F69" s="8">
        <v>1215.9675785009786</v>
      </c>
      <c r="G69" s="8">
        <v>225.00244507032932</v>
      </c>
      <c r="H69" s="8">
        <v>134.47325670433062</v>
      </c>
      <c r="I69" s="8">
        <v>359.47570177465991</v>
      </c>
      <c r="J69" s="8">
        <v>0.13794962294243759</v>
      </c>
      <c r="K69" s="8">
        <v>0.12227347647451262</v>
      </c>
      <c r="L69" s="8">
        <v>5.9785315169638691E-13</v>
      </c>
      <c r="M69" s="8">
        <v>4.5550716319724724E-13</v>
      </c>
      <c r="N69" s="8">
        <v>-5.9685589803848416E-13</v>
      </c>
      <c r="O69" s="8">
        <v>4.5474735088646412E-13</v>
      </c>
      <c r="P69" s="8">
        <v>1.4200708752782722</v>
      </c>
      <c r="Q69" s="8">
        <v>1.3683519328613283</v>
      </c>
      <c r="R69" s="8">
        <v>17.397177885818842</v>
      </c>
      <c r="S69" s="8">
        <v>0.31713452419423011</v>
      </c>
      <c r="T69" s="8">
        <v>26.023818365326235</v>
      </c>
      <c r="U69" s="8">
        <v>0.31713452419423016</v>
      </c>
      <c r="V69" s="8">
        <v>538.47394409179674</v>
      </c>
      <c r="W69" s="8">
        <v>0</v>
      </c>
      <c r="X69" s="8">
        <v>5990.8176447604656</v>
      </c>
      <c r="Y69" s="8">
        <v>3577.0113331509606</v>
      </c>
      <c r="AA69" s="8">
        <v>838.62064069010671</v>
      </c>
      <c r="AB69" s="8">
        <v>399.36445549262498</v>
      </c>
      <c r="AC69" s="8">
        <v>1237.9850961827317</v>
      </c>
      <c r="AD69" s="8">
        <v>236.90213705932933</v>
      </c>
      <c r="AE69" s="8">
        <v>144.30116890758535</v>
      </c>
      <c r="AF69" s="8">
        <v>381.20330596691468</v>
      </c>
      <c r="AG69" s="12">
        <v>0.13998433776791044</v>
      </c>
      <c r="AH69" s="12">
        <v>0.12535840653378447</v>
      </c>
      <c r="AI69" s="8">
        <v>2.8469197699827953E-14</v>
      </c>
      <c r="AJ69" s="8">
        <v>5.1244555859690311E-13</v>
      </c>
      <c r="AK69" s="8">
        <v>0</v>
      </c>
      <c r="AL69" s="8">
        <v>-5.1159076974727213E-13</v>
      </c>
      <c r="AM69" s="25">
        <v>1.2736991572454353</v>
      </c>
      <c r="AN69" s="25">
        <v>1.2219802148284913</v>
      </c>
      <c r="AO69" s="8">
        <v>17.397177885818842</v>
      </c>
      <c r="AP69" s="8">
        <v>0.31713452419423011</v>
      </c>
      <c r="AQ69" s="8">
        <v>26.023818365326235</v>
      </c>
      <c r="AR69" s="8">
        <v>0.31713452419423016</v>
      </c>
      <c r="AS69" s="8">
        <v>537.41644287109364</v>
      </c>
      <c r="AT69" s="8">
        <v>0</v>
      </c>
      <c r="AU69" s="8">
        <v>5990.8176447604656</v>
      </c>
      <c r="AV69" s="8">
        <v>3577.0113331509606</v>
      </c>
      <c r="AX69" s="8">
        <v>795.09042690763067</v>
      </c>
      <c r="AY69" s="8">
        <v>371.31364933833504</v>
      </c>
      <c r="AZ69" s="8">
        <v>1166.4040762459658</v>
      </c>
      <c r="BA69" s="8">
        <v>193.94430164181793</v>
      </c>
      <c r="BB69" s="8">
        <v>116.25036275329531</v>
      </c>
      <c r="BC69" s="8">
        <v>310.19466439511325</v>
      </c>
      <c r="BD69" s="8">
        <v>0.13271818206701921</v>
      </c>
      <c r="BE69" s="8">
        <v>0.11655340570527484</v>
      </c>
      <c r="BF69" s="8">
        <v>4.5550716319724724E-13</v>
      </c>
      <c r="BG69" s="8">
        <v>2.9892657584819346E-13</v>
      </c>
      <c r="BH69" s="8">
        <v>-4.5474735088646412E-13</v>
      </c>
      <c r="BI69" s="8">
        <v>-2.9842794901924208E-13</v>
      </c>
      <c r="BJ69" s="8">
        <v>1.5527471135595221</v>
      </c>
      <c r="BK69" s="8">
        <v>1.5010281711425781</v>
      </c>
      <c r="BL69" s="8">
        <v>17.397177885818842</v>
      </c>
      <c r="BM69" s="8">
        <v>0.31713452419423011</v>
      </c>
      <c r="BN69" s="8">
        <v>26.023818365326235</v>
      </c>
      <c r="BO69" s="8">
        <v>0.31713452419423016</v>
      </c>
      <c r="BP69" s="8">
        <v>537.34150085449221</v>
      </c>
      <c r="BQ69" s="8">
        <v>0</v>
      </c>
      <c r="BR69" s="8">
        <v>5990.8176447604656</v>
      </c>
      <c r="BS69" s="8">
        <v>3577.0113331509606</v>
      </c>
      <c r="BU69" s="8">
        <v>823.20146081698726</v>
      </c>
      <c r="BV69" s="8">
        <v>387.7882155211388</v>
      </c>
      <c r="BW69" s="8">
        <v>1210.9896763381262</v>
      </c>
      <c r="BX69" s="8">
        <v>221.56553127065106</v>
      </c>
      <c r="BY69" s="8">
        <v>132.72492893609905</v>
      </c>
      <c r="BZ69" s="8">
        <v>354.29046020675014</v>
      </c>
      <c r="CA69" s="8">
        <v>0.13741053552797663</v>
      </c>
      <c r="CB69" s="8">
        <v>0.12172468556407987</v>
      </c>
      <c r="CC69" s="8">
        <v>1.1387679079931181E-13</v>
      </c>
      <c r="CD69" s="8">
        <v>5.1244555859690311E-13</v>
      </c>
      <c r="CE69" s="8">
        <v>0</v>
      </c>
      <c r="CF69" s="8">
        <v>-5.1159076974727213E-13</v>
      </c>
      <c r="CG69" s="8">
        <v>1.277888618930616</v>
      </c>
      <c r="CH69" s="8">
        <v>1.226169676513672</v>
      </c>
      <c r="CI69" s="8">
        <v>17.397177885818842</v>
      </c>
      <c r="CJ69" s="8">
        <v>0.31713452419423011</v>
      </c>
      <c r="CK69" s="8">
        <v>26.023818365326235</v>
      </c>
      <c r="CL69" s="8">
        <v>0.31713452419423016</v>
      </c>
      <c r="CM69" s="8">
        <v>534.6</v>
      </c>
      <c r="CN69" s="8">
        <v>0</v>
      </c>
      <c r="CO69" s="8">
        <v>5990.8176447604656</v>
      </c>
      <c r="CP69" s="8">
        <v>3577.0113331509606</v>
      </c>
    </row>
    <row r="70" spans="1:94" x14ac:dyDescent="0.2">
      <c r="A70" s="6" t="str">
        <f t="shared" si="69"/>
        <v>3- Baseline Portfolio&amp;</v>
      </c>
      <c r="B70" s="6" t="str">
        <f>'Scenario List'!$A$5</f>
        <v>3- Baseline Portfolio</v>
      </c>
      <c r="D70" s="8">
        <v>854.69429278724681</v>
      </c>
      <c r="E70" s="8">
        <v>401.31675679646372</v>
      </c>
      <c r="F70" s="8">
        <v>1256.0110495837105</v>
      </c>
      <c r="G70" s="8">
        <v>227.66714910042933</v>
      </c>
      <c r="H70" s="8">
        <v>136.32958709444915</v>
      </c>
      <c r="I70" s="8">
        <v>363.99673619487851</v>
      </c>
      <c r="J70" s="8">
        <v>0.14145563577066766</v>
      </c>
      <c r="K70" s="8">
        <v>0.12506686934138705</v>
      </c>
      <c r="L70" s="8">
        <v>6.2632234939621495E-13</v>
      </c>
      <c r="M70" s="8">
        <v>3.7009957009776334E-13</v>
      </c>
      <c r="N70" s="8">
        <v>-6.2527760746888816E-13</v>
      </c>
      <c r="O70" s="8">
        <v>-3.694822225952521E-13</v>
      </c>
      <c r="P70" s="8">
        <v>1.2193346537058907</v>
      </c>
      <c r="Q70" s="8">
        <v>1.255429392578125</v>
      </c>
      <c r="R70" s="8">
        <v>58.046550665576987</v>
      </c>
      <c r="S70" s="8">
        <v>9.8838054366274211</v>
      </c>
      <c r="T70" s="8">
        <v>57.499999604746733</v>
      </c>
      <c r="U70" s="8">
        <v>7.9222098788052149</v>
      </c>
      <c r="V70" s="8">
        <v>1236.2303301940915</v>
      </c>
      <c r="W70" s="8">
        <v>149.93089111938474</v>
      </c>
      <c r="X70" s="8">
        <v>6042.1367316386331</v>
      </c>
      <c r="Y70" s="8">
        <v>3600.7603290491734</v>
      </c>
      <c r="AA70" s="8">
        <v>855.96578732659918</v>
      </c>
      <c r="AB70" s="8">
        <v>408.72394578347917</v>
      </c>
      <c r="AC70" s="8">
        <v>1264.6897331100784</v>
      </c>
      <c r="AD70" s="8">
        <v>228.64531217255421</v>
      </c>
      <c r="AE70" s="8">
        <v>143.73677608146465</v>
      </c>
      <c r="AF70" s="8">
        <v>372.38208825401887</v>
      </c>
      <c r="AG70" s="12">
        <v>0.14166607366637007</v>
      </c>
      <c r="AH70" s="12">
        <v>0.12737525522744128</v>
      </c>
      <c r="AI70" s="8">
        <v>0</v>
      </c>
      <c r="AJ70" s="8">
        <v>2.1351898274870963E-13</v>
      </c>
      <c r="AK70" s="8">
        <v>0</v>
      </c>
      <c r="AL70" s="8">
        <v>-2.1316282072803006E-13</v>
      </c>
      <c r="AM70" s="25">
        <v>1.0825938206904488</v>
      </c>
      <c r="AN70" s="25">
        <v>1.1186885595626832</v>
      </c>
      <c r="AO70" s="8">
        <v>58.046550665576987</v>
      </c>
      <c r="AP70" s="8">
        <v>9.8838054366274211</v>
      </c>
      <c r="AQ70" s="8">
        <v>57.499999604746733</v>
      </c>
      <c r="AR70" s="8">
        <v>7.9222098788052149</v>
      </c>
      <c r="AS70" s="8">
        <v>1248.4861289611817</v>
      </c>
      <c r="AT70" s="8">
        <v>151.55611347045894</v>
      </c>
      <c r="AU70" s="8">
        <v>6042.1367316386331</v>
      </c>
      <c r="AV70" s="8">
        <v>3600.7603290491734</v>
      </c>
      <c r="AX70" s="8">
        <v>829.76799062241707</v>
      </c>
      <c r="AY70" s="8">
        <v>384.93095313968649</v>
      </c>
      <c r="AZ70" s="8">
        <v>1214.6989437621037</v>
      </c>
      <c r="BA70" s="8">
        <v>203.00294689369917</v>
      </c>
      <c r="BB70" s="8">
        <v>119.9437834376719</v>
      </c>
      <c r="BC70" s="8">
        <v>322.9467303313711</v>
      </c>
      <c r="BD70" s="8">
        <v>0.13733022397150937</v>
      </c>
      <c r="BE70" s="8">
        <v>0.11996037645194327</v>
      </c>
      <c r="BF70" s="8">
        <v>6.4055694824612891E-13</v>
      </c>
      <c r="BG70" s="8">
        <v>0</v>
      </c>
      <c r="BH70" s="8">
        <v>-6.3948846218409017E-13</v>
      </c>
      <c r="BI70" s="8">
        <v>0</v>
      </c>
      <c r="BJ70" s="8">
        <v>1.3308021014597968</v>
      </c>
      <c r="BK70" s="8">
        <v>1.3668968403320312</v>
      </c>
      <c r="BL70" s="8">
        <v>58.046550665576987</v>
      </c>
      <c r="BM70" s="8">
        <v>9.8838054366274211</v>
      </c>
      <c r="BN70" s="8">
        <v>57.499999604746733</v>
      </c>
      <c r="BO70" s="8">
        <v>7.9222098788052149</v>
      </c>
      <c r="BP70" s="8">
        <v>1228.3515118469236</v>
      </c>
      <c r="BQ70" s="8">
        <v>149.13062011108397</v>
      </c>
      <c r="BR70" s="8">
        <v>6042.1367316386331</v>
      </c>
      <c r="BS70" s="8">
        <v>3600.7603290491734</v>
      </c>
      <c r="BU70" s="8">
        <v>850.01122219371166</v>
      </c>
      <c r="BV70" s="8">
        <v>399.10396202167743</v>
      </c>
      <c r="BW70" s="8">
        <v>1249.115184215389</v>
      </c>
      <c r="BX70" s="8">
        <v>222.70416192779302</v>
      </c>
      <c r="BY70" s="8">
        <v>134.11679231966284</v>
      </c>
      <c r="BZ70" s="8">
        <v>356.82095424745586</v>
      </c>
      <c r="CA70" s="8">
        <v>0.14068056714816976</v>
      </c>
      <c r="CB70" s="8">
        <v>0.12437727113675025</v>
      </c>
      <c r="CC70" s="8">
        <v>3.5586497124784937E-13</v>
      </c>
      <c r="CD70" s="8">
        <v>6.9749534364578478E-13</v>
      </c>
      <c r="CE70" s="8">
        <v>-3.5527136788005009E-13</v>
      </c>
      <c r="CF70" s="8">
        <v>-6.9633188104489818E-13</v>
      </c>
      <c r="CG70" s="8">
        <v>1.0957941681101875</v>
      </c>
      <c r="CH70" s="8">
        <v>1.1318889069824218</v>
      </c>
      <c r="CI70" s="8">
        <v>58.046550665576987</v>
      </c>
      <c r="CJ70" s="8">
        <v>9.8838054366274211</v>
      </c>
      <c r="CK70" s="8">
        <v>57.499999604746733</v>
      </c>
      <c r="CL70" s="8">
        <v>7.9222098788052149</v>
      </c>
      <c r="CM70" s="8">
        <v>1248.6863999999998</v>
      </c>
      <c r="CN70" s="8">
        <v>151.51359999999997</v>
      </c>
      <c r="CO70" s="8">
        <v>6042.1367316386331</v>
      </c>
      <c r="CP70" s="8">
        <v>3600.7603290491734</v>
      </c>
    </row>
    <row r="71" spans="1:94" x14ac:dyDescent="0.2">
      <c r="A71" s="6" t="str">
        <f t="shared" si="69"/>
        <v>3- Baseline Portfolio&amp;</v>
      </c>
      <c r="B71" s="6" t="str">
        <f>'Scenario List'!$A$5</f>
        <v>3- Baseline Portfolio</v>
      </c>
      <c r="D71" s="8">
        <v>882.01206821490268</v>
      </c>
      <c r="E71" s="8">
        <v>412.85610742413797</v>
      </c>
      <c r="F71" s="8">
        <v>1294.8681756390406</v>
      </c>
      <c r="G71" s="8">
        <v>228.57383212149767</v>
      </c>
      <c r="H71" s="8">
        <v>137.51533699171131</v>
      </c>
      <c r="I71" s="8">
        <v>366.08916911320898</v>
      </c>
      <c r="J71" s="8">
        <v>0.14486371662540362</v>
      </c>
      <c r="K71" s="8">
        <v>0.12757091003066423</v>
      </c>
      <c r="L71" s="8">
        <v>2.8469197699827953E-14</v>
      </c>
      <c r="M71" s="8">
        <v>3.9856876779759127E-13</v>
      </c>
      <c r="N71" s="8">
        <v>0</v>
      </c>
      <c r="O71" s="8">
        <v>3.979039320256561E-13</v>
      </c>
      <c r="P71" s="8">
        <v>1.1722861327868332</v>
      </c>
      <c r="Q71" s="8">
        <v>1.1969858792240622</v>
      </c>
      <c r="R71" s="8">
        <v>57.296016260760936</v>
      </c>
      <c r="S71" s="8">
        <v>11.020279226674818</v>
      </c>
      <c r="T71" s="8">
        <v>56.760075327267458</v>
      </c>
      <c r="U71" s="8">
        <v>9.0817824488330263</v>
      </c>
      <c r="V71" s="8">
        <v>1225.6937641174318</v>
      </c>
      <c r="W71" s="8">
        <v>148.54823722534175</v>
      </c>
      <c r="X71" s="8">
        <v>6088.5644021936623</v>
      </c>
      <c r="Y71" s="8">
        <v>3626.6975182318206</v>
      </c>
      <c r="AA71" s="8">
        <v>890.85940964846532</v>
      </c>
      <c r="AB71" s="8">
        <v>424.14569236652619</v>
      </c>
      <c r="AC71" s="8">
        <v>1315.0051020149915</v>
      </c>
      <c r="AD71" s="8">
        <v>236.99045589725006</v>
      </c>
      <c r="AE71" s="8">
        <v>148.80492193409955</v>
      </c>
      <c r="AF71" s="8">
        <v>385.79537783134958</v>
      </c>
      <c r="AG71" s="12">
        <v>0.14631682459127732</v>
      </c>
      <c r="AH71" s="12">
        <v>0.13105934728294247</v>
      </c>
      <c r="AI71" s="8">
        <v>5.9785315169638691E-13</v>
      </c>
      <c r="AJ71" s="8">
        <v>6.6902614594595685E-13</v>
      </c>
      <c r="AK71" s="8">
        <v>5.9685589803848416E-13</v>
      </c>
      <c r="AL71" s="8">
        <v>6.6791017161449417E-13</v>
      </c>
      <c r="AM71" s="25">
        <v>0.99529435340865724</v>
      </c>
      <c r="AN71" s="25">
        <v>1.0199940998458863</v>
      </c>
      <c r="AO71" s="8">
        <v>57.296016260760936</v>
      </c>
      <c r="AP71" s="8">
        <v>11.020279226674818</v>
      </c>
      <c r="AQ71" s="8">
        <v>56.760075327267458</v>
      </c>
      <c r="AR71" s="8">
        <v>9.0817824488330263</v>
      </c>
      <c r="AS71" s="8">
        <v>1210.2720106811523</v>
      </c>
      <c r="AT71" s="8">
        <v>147.30490277099605</v>
      </c>
      <c r="AU71" s="8">
        <v>6088.5644021936623</v>
      </c>
      <c r="AV71" s="8">
        <v>3626.6975182318206</v>
      </c>
      <c r="AX71" s="8">
        <v>856.99654859854581</v>
      </c>
      <c r="AY71" s="8">
        <v>396.4166822598396</v>
      </c>
      <c r="AZ71" s="8">
        <v>1253.4132308583853</v>
      </c>
      <c r="BA71" s="8">
        <v>203.85204863408373</v>
      </c>
      <c r="BB71" s="8">
        <v>121.07591182741297</v>
      </c>
      <c r="BC71" s="8">
        <v>324.9279604614967</v>
      </c>
      <c r="BD71" s="8">
        <v>0.14075510941294744</v>
      </c>
      <c r="BE71" s="8">
        <v>0.12249119244655196</v>
      </c>
      <c r="BF71" s="8">
        <v>5.6938395399655898E-13</v>
      </c>
      <c r="BG71" s="8">
        <v>3.8433416894767731E-13</v>
      </c>
      <c r="BH71" s="8">
        <v>-5.6843418860808015E-13</v>
      </c>
      <c r="BI71" s="8">
        <v>-3.836930773104541E-13</v>
      </c>
      <c r="BJ71" s="8">
        <v>1.2746241111105312</v>
      </c>
      <c r="BK71" s="8">
        <v>1.2993238575477601</v>
      </c>
      <c r="BL71" s="8">
        <v>57.296016260760936</v>
      </c>
      <c r="BM71" s="8">
        <v>11.020279226674818</v>
      </c>
      <c r="BN71" s="8">
        <v>56.760075327267458</v>
      </c>
      <c r="BO71" s="8">
        <v>9.0817824488330263</v>
      </c>
      <c r="BP71" s="8">
        <v>1218.0535018676758</v>
      </c>
      <c r="BQ71" s="8">
        <v>148.02903597412106</v>
      </c>
      <c r="BR71" s="8">
        <v>6088.5644021936623</v>
      </c>
      <c r="BS71" s="8">
        <v>3626.6975182318206</v>
      </c>
      <c r="BU71" s="8">
        <v>876.69036182991317</v>
      </c>
      <c r="BV71" s="8">
        <v>410.71791687687767</v>
      </c>
      <c r="BW71" s="8">
        <v>1287.408278706791</v>
      </c>
      <c r="BX71" s="8">
        <v>223.02828131278133</v>
      </c>
      <c r="BY71" s="8">
        <v>135.37714644445103</v>
      </c>
      <c r="BZ71" s="8">
        <v>358.40542775723236</v>
      </c>
      <c r="CA71" s="8">
        <v>0.1439896671724534</v>
      </c>
      <c r="CB71" s="8">
        <v>0.12691021757867457</v>
      </c>
      <c r="CC71" s="8">
        <v>5.6938395399655905E-14</v>
      </c>
      <c r="CD71" s="8">
        <v>1.4234598849913974E-13</v>
      </c>
      <c r="CE71" s="8">
        <v>0</v>
      </c>
      <c r="CF71" s="8">
        <v>1.4210854715202004E-13</v>
      </c>
      <c r="CG71" s="8">
        <v>1.0286965243147239</v>
      </c>
      <c r="CH71" s="8">
        <v>1.0533962707519529</v>
      </c>
      <c r="CI71" s="8">
        <v>57.296016260760936</v>
      </c>
      <c r="CJ71" s="8">
        <v>11.020279226674818</v>
      </c>
      <c r="CK71" s="8">
        <v>56.760075327267458</v>
      </c>
      <c r="CL71" s="8">
        <v>9.0817824488330263</v>
      </c>
      <c r="CM71" s="8">
        <v>1240.8391999999999</v>
      </c>
      <c r="CN71" s="8">
        <v>150.16079999999999</v>
      </c>
      <c r="CO71" s="8">
        <v>6088.5644021936623</v>
      </c>
      <c r="CP71" s="8">
        <v>3626.6975182318206</v>
      </c>
    </row>
    <row r="72" spans="1:94" x14ac:dyDescent="0.2">
      <c r="A72" s="6" t="str">
        <f t="shared" si="69"/>
        <v>3- Baseline Portfolio&amp;</v>
      </c>
      <c r="B72" s="6" t="str">
        <f>'Scenario List'!$A$5</f>
        <v>3- Baseline Portfolio</v>
      </c>
      <c r="D72" s="8">
        <v>894.53686884551405</v>
      </c>
      <c r="E72" s="8">
        <v>415.66986800217421</v>
      </c>
      <c r="F72" s="8">
        <v>1310.2067368476883</v>
      </c>
      <c r="G72" s="8">
        <v>214.35370946354735</v>
      </c>
      <c r="H72" s="8">
        <v>129.56155190326032</v>
      </c>
      <c r="I72" s="8">
        <v>343.91526136680767</v>
      </c>
      <c r="J72" s="8">
        <v>0.14569776262294518</v>
      </c>
      <c r="K72" s="8">
        <v>0.12735010104292444</v>
      </c>
      <c r="L72" s="8">
        <v>6.8326074479587081E-13</v>
      </c>
      <c r="M72" s="8">
        <v>4.1280336664750529E-13</v>
      </c>
      <c r="N72" s="8">
        <v>-6.8212102632969618E-13</v>
      </c>
      <c r="O72" s="8">
        <v>-4.1211478674085811E-13</v>
      </c>
      <c r="P72" s="8">
        <v>1.2204100299202643</v>
      </c>
      <c r="Q72" s="8">
        <v>1.1416825346679687</v>
      </c>
      <c r="R72" s="8">
        <v>56.452708393397991</v>
      </c>
      <c r="S72" s="8">
        <v>11.443342272310181</v>
      </c>
      <c r="T72" s="8">
        <v>55.923351250262868</v>
      </c>
      <c r="U72" s="8">
        <v>9.528659044802172</v>
      </c>
      <c r="V72" s="8">
        <v>1233.5021790954593</v>
      </c>
      <c r="W72" s="8">
        <v>149.60375962524415</v>
      </c>
      <c r="X72" s="8">
        <v>6139.6747125109123</v>
      </c>
      <c r="Y72" s="8">
        <v>3653.4639178131342</v>
      </c>
      <c r="AA72" s="8">
        <v>902.48523221662185</v>
      </c>
      <c r="AB72" s="8">
        <v>426.98422959256629</v>
      </c>
      <c r="AC72" s="8">
        <v>1329.469461809188</v>
      </c>
      <c r="AD72" s="8">
        <v>221.68003845135925</v>
      </c>
      <c r="AE72" s="8">
        <v>140.87591349365246</v>
      </c>
      <c r="AF72" s="8">
        <v>362.55595194501171</v>
      </c>
      <c r="AG72" s="12">
        <v>0.14699235292997093</v>
      </c>
      <c r="AH72" s="12">
        <v>0.13081651803075642</v>
      </c>
      <c r="AI72" s="8">
        <v>6.9749534364578478E-13</v>
      </c>
      <c r="AJ72" s="8">
        <v>4.6974176204716121E-13</v>
      </c>
      <c r="AK72" s="8">
        <v>6.9633188104489818E-13</v>
      </c>
      <c r="AL72" s="8">
        <v>4.6895820560166612E-13</v>
      </c>
      <c r="AM72" s="25">
        <v>1.0540016815926276</v>
      </c>
      <c r="AN72" s="25">
        <v>0.97527418634033203</v>
      </c>
      <c r="AO72" s="8">
        <v>56.452708393397991</v>
      </c>
      <c r="AP72" s="8">
        <v>11.443342272310181</v>
      </c>
      <c r="AQ72" s="8">
        <v>55.923351250262868</v>
      </c>
      <c r="AR72" s="8">
        <v>9.528659044802172</v>
      </c>
      <c r="AS72" s="8">
        <v>1239.6322963684083</v>
      </c>
      <c r="AT72" s="8">
        <v>150.18558082885744</v>
      </c>
      <c r="AU72" s="8">
        <v>6139.6747125109123</v>
      </c>
      <c r="AV72" s="8">
        <v>3653.4639178131342</v>
      </c>
      <c r="AX72" s="8">
        <v>867.98320665988479</v>
      </c>
      <c r="AY72" s="8">
        <v>398.45280702078389</v>
      </c>
      <c r="AZ72" s="8">
        <v>1266.4360136806686</v>
      </c>
      <c r="BA72" s="8">
        <v>187.9246725955031</v>
      </c>
      <c r="BB72" s="8">
        <v>112.34449092187002</v>
      </c>
      <c r="BC72" s="8">
        <v>300.2691635173731</v>
      </c>
      <c r="BD72" s="8">
        <v>0.14137283281330551</v>
      </c>
      <c r="BE72" s="8">
        <v>0.12207525524719602</v>
      </c>
      <c r="BF72" s="8">
        <v>1.9928438389879564E-13</v>
      </c>
      <c r="BG72" s="8">
        <v>4.5550716319724724E-13</v>
      </c>
      <c r="BH72" s="8">
        <v>-1.9895196601282805E-13</v>
      </c>
      <c r="BI72" s="8">
        <v>4.5474735088646412E-13</v>
      </c>
      <c r="BJ72" s="8">
        <v>1.326171283162757</v>
      </c>
      <c r="BK72" s="8">
        <v>1.2474437879104614</v>
      </c>
      <c r="BL72" s="8">
        <v>56.452708393397991</v>
      </c>
      <c r="BM72" s="8">
        <v>11.443342272310181</v>
      </c>
      <c r="BN72" s="8">
        <v>55.923351250262868</v>
      </c>
      <c r="BO72" s="8">
        <v>9.528659044802172</v>
      </c>
      <c r="BP72" s="8">
        <v>1235.5876354553225</v>
      </c>
      <c r="BQ72" s="8">
        <v>149.39080387573244</v>
      </c>
      <c r="BR72" s="8">
        <v>6139.6747125109123</v>
      </c>
      <c r="BS72" s="8">
        <v>3653.4639178131342</v>
      </c>
      <c r="BU72" s="8">
        <v>891.7558278284605</v>
      </c>
      <c r="BV72" s="8">
        <v>414.90436164041648</v>
      </c>
      <c r="BW72" s="8">
        <v>1306.660189468877</v>
      </c>
      <c r="BX72" s="8">
        <v>211.12463447558255</v>
      </c>
      <c r="BY72" s="8">
        <v>128.79604554150262</v>
      </c>
      <c r="BZ72" s="8">
        <v>339.92068001708515</v>
      </c>
      <c r="CA72" s="8">
        <v>0.14524480034932724</v>
      </c>
      <c r="CB72" s="8">
        <v>0.12711557042133426</v>
      </c>
      <c r="CC72" s="8">
        <v>3.9856876779759127E-13</v>
      </c>
      <c r="CD72" s="8">
        <v>6.1208775054630098E-13</v>
      </c>
      <c r="CE72" s="8">
        <v>-3.979039320256561E-13</v>
      </c>
      <c r="CF72" s="8">
        <v>-6.1106675275368616E-13</v>
      </c>
      <c r="CG72" s="8">
        <v>1.04711168446128</v>
      </c>
      <c r="CH72" s="8">
        <v>0.96838418920898439</v>
      </c>
      <c r="CI72" s="8">
        <v>56.452708393397991</v>
      </c>
      <c r="CJ72" s="8">
        <v>11.443342272310181</v>
      </c>
      <c r="CK72" s="8">
        <v>55.923351250262868</v>
      </c>
      <c r="CL72" s="8">
        <v>9.528659044802172</v>
      </c>
      <c r="CM72" s="8">
        <v>1232.6224</v>
      </c>
      <c r="CN72" s="8">
        <v>149.3776</v>
      </c>
      <c r="CO72" s="8">
        <v>6139.6747125109123</v>
      </c>
      <c r="CP72" s="8">
        <v>3653.4639178131342</v>
      </c>
    </row>
    <row r="73" spans="1:94" x14ac:dyDescent="0.2">
      <c r="A73" s="6" t="str">
        <f t="shared" si="69"/>
        <v>3- Baseline Portfolio&amp;</v>
      </c>
      <c r="B73" s="6" t="str">
        <f>'Scenario List'!$A$5</f>
        <v>3- Baseline Portfolio</v>
      </c>
      <c r="D73" s="8">
        <v>925.99805103644189</v>
      </c>
      <c r="E73" s="8">
        <v>430.11255830694893</v>
      </c>
      <c r="F73" s="8">
        <v>1356.1106093433909</v>
      </c>
      <c r="G73" s="8">
        <v>218.22369349025132</v>
      </c>
      <c r="H73" s="8">
        <v>132.93075013932543</v>
      </c>
      <c r="I73" s="8">
        <v>351.15444362957675</v>
      </c>
      <c r="J73" s="8">
        <v>0.14953333919295844</v>
      </c>
      <c r="K73" s="8">
        <v>0.130729242079101</v>
      </c>
      <c r="L73" s="8">
        <v>4.6974176204716121E-13</v>
      </c>
      <c r="M73" s="8">
        <v>4.4127256434733322E-13</v>
      </c>
      <c r="N73" s="8">
        <v>4.6895820560166612E-13</v>
      </c>
      <c r="O73" s="8">
        <v>-4.4053649617126212E-13</v>
      </c>
      <c r="P73" s="8">
        <v>1.1960698047542657</v>
      </c>
      <c r="Q73" s="8">
        <v>1.101400849609375</v>
      </c>
      <c r="R73" s="8">
        <v>58.877720040415014</v>
      </c>
      <c r="S73" s="8">
        <v>13.323002766319172</v>
      </c>
      <c r="T73" s="8">
        <v>58.175489217899923</v>
      </c>
      <c r="U73" s="8">
        <v>11.33268206239978</v>
      </c>
      <c r="V73" s="8">
        <v>1222.9370356315039</v>
      </c>
      <c r="W73" s="8">
        <v>150.32578536096571</v>
      </c>
      <c r="X73" s="8">
        <v>6192.5859212006908</v>
      </c>
      <c r="Y73" s="8">
        <v>3681.4346982213524</v>
      </c>
      <c r="AA73" s="8">
        <v>937.00035695533859</v>
      </c>
      <c r="AB73" s="8">
        <v>442.60630086349681</v>
      </c>
      <c r="AC73" s="8">
        <v>1379.6066578188354</v>
      </c>
      <c r="AD73" s="8">
        <v>228.46994154178986</v>
      </c>
      <c r="AE73" s="8">
        <v>145.42449269587331</v>
      </c>
      <c r="AF73" s="8">
        <v>373.89443423766318</v>
      </c>
      <c r="AG73" s="12">
        <v>0.1513100292637784</v>
      </c>
      <c r="AH73" s="12">
        <v>0.13452661433341986</v>
      </c>
      <c r="AI73" s="8">
        <v>1.9928438389879564E-13</v>
      </c>
      <c r="AJ73" s="8">
        <v>6.6902614594595685E-13</v>
      </c>
      <c r="AK73" s="8">
        <v>1.9895196601282805E-13</v>
      </c>
      <c r="AL73" s="8">
        <v>-6.6791017161449417E-13</v>
      </c>
      <c r="AM73" s="25">
        <v>1.0344752473201837</v>
      </c>
      <c r="AN73" s="25">
        <v>0.93980629217529288</v>
      </c>
      <c r="AO73" s="8">
        <v>58.877720040415014</v>
      </c>
      <c r="AP73" s="8">
        <v>13.323002766319172</v>
      </c>
      <c r="AQ73" s="8">
        <v>58.175489217899923</v>
      </c>
      <c r="AR73" s="8">
        <v>11.33268206239978</v>
      </c>
      <c r="AS73" s="8">
        <v>1229.1208496893694</v>
      </c>
      <c r="AT73" s="8">
        <v>149.74205788242341</v>
      </c>
      <c r="AU73" s="8">
        <v>6192.5859212006908</v>
      </c>
      <c r="AV73" s="8">
        <v>3681.4346982213524</v>
      </c>
      <c r="AX73" s="8">
        <v>901.0825519012019</v>
      </c>
      <c r="AY73" s="8">
        <v>413.70422949523913</v>
      </c>
      <c r="AZ73" s="8">
        <v>1314.786781396441</v>
      </c>
      <c r="BA73" s="8">
        <v>193.36591256212006</v>
      </c>
      <c r="BB73" s="8">
        <v>116.52242132761559</v>
      </c>
      <c r="BC73" s="8">
        <v>309.88833388973563</v>
      </c>
      <c r="BD73" s="8">
        <v>0.14550989899329317</v>
      </c>
      <c r="BE73" s="8">
        <v>0.12574206291422602</v>
      </c>
      <c r="BF73" s="8">
        <v>4.6974176204716121E-13</v>
      </c>
      <c r="BG73" s="8">
        <v>2.2775358159862362E-13</v>
      </c>
      <c r="BH73" s="8">
        <v>-4.6895820560166612E-13</v>
      </c>
      <c r="BI73" s="8">
        <v>2.2737367544323206E-13</v>
      </c>
      <c r="BJ73" s="8">
        <v>1.2956966138615695</v>
      </c>
      <c r="BK73" s="8">
        <v>1.2010276587166788</v>
      </c>
      <c r="BL73" s="8">
        <v>58.877720040415014</v>
      </c>
      <c r="BM73" s="8">
        <v>13.323002766319172</v>
      </c>
      <c r="BN73" s="8">
        <v>58.175489217899923</v>
      </c>
      <c r="BO73" s="8">
        <v>11.33268206239978</v>
      </c>
      <c r="BP73" s="8">
        <v>1234.9408899560547</v>
      </c>
      <c r="BQ73" s="8">
        <v>151.79776574462889</v>
      </c>
      <c r="BR73" s="8">
        <v>6192.5859212006908</v>
      </c>
      <c r="BS73" s="8">
        <v>3681.4346982213524</v>
      </c>
      <c r="BU73" s="8">
        <v>921.81423879288786</v>
      </c>
      <c r="BV73" s="8">
        <v>428.7165525737858</v>
      </c>
      <c r="BW73" s="8">
        <v>1350.5307913666736</v>
      </c>
      <c r="BX73" s="8">
        <v>213.65023270930322</v>
      </c>
      <c r="BY73" s="8">
        <v>131.53474440616225</v>
      </c>
      <c r="BZ73" s="8">
        <v>345.18497711546547</v>
      </c>
      <c r="CA73" s="8">
        <v>0.14885772285161217</v>
      </c>
      <c r="CB73" s="8">
        <v>0.13030493739905896</v>
      </c>
      <c r="CC73" s="8">
        <v>4.6974176204716121E-13</v>
      </c>
      <c r="CD73" s="8">
        <v>3.2739577354802139E-13</v>
      </c>
      <c r="CE73" s="8">
        <v>4.6895820560166612E-13</v>
      </c>
      <c r="CF73" s="8">
        <v>3.2684965844964609E-13</v>
      </c>
      <c r="CG73" s="8">
        <v>1.0328611385860529</v>
      </c>
      <c r="CH73" s="8">
        <v>0.93819218344116218</v>
      </c>
      <c r="CI73" s="8">
        <v>58.877720040415014</v>
      </c>
      <c r="CJ73" s="8">
        <v>13.323002766319172</v>
      </c>
      <c r="CK73" s="8">
        <v>58.175489217899923</v>
      </c>
      <c r="CL73" s="8">
        <v>11.33268206239978</v>
      </c>
      <c r="CM73" s="8">
        <v>1245.09266</v>
      </c>
      <c r="CN73" s="8">
        <v>151.57234</v>
      </c>
      <c r="CO73" s="8">
        <v>6192.5859212006908</v>
      </c>
      <c r="CP73" s="8">
        <v>3681.4346982213524</v>
      </c>
    </row>
    <row r="74" spans="1:94" x14ac:dyDescent="0.2">
      <c r="A74" s="6" t="str">
        <f t="shared" si="69"/>
        <v>3- Baseline Portfolio&amp;</v>
      </c>
      <c r="B74" s="6" t="str">
        <f>'Scenario List'!$A$5</f>
        <v>3- Baseline Portfolio</v>
      </c>
      <c r="D74" s="8">
        <v>965.66239087693202</v>
      </c>
      <c r="E74" s="8">
        <v>449.37893494006903</v>
      </c>
      <c r="F74" s="8">
        <v>1415.0413258170011</v>
      </c>
      <c r="G74" s="8">
        <v>230.06732194942526</v>
      </c>
      <c r="H74" s="8">
        <v>140.63661754752792</v>
      </c>
      <c r="I74" s="8">
        <v>370.70393949695318</v>
      </c>
      <c r="J74" s="8">
        <v>0.15448684763887716</v>
      </c>
      <c r="K74" s="8">
        <v>0.13542989159081256</v>
      </c>
      <c r="L74" s="8">
        <v>4.9821095974698914E-13</v>
      </c>
      <c r="M74" s="8">
        <v>2.7045737814836552E-13</v>
      </c>
      <c r="N74" s="8">
        <v>4.9737991503207013E-13</v>
      </c>
      <c r="O74" s="8">
        <v>2.7000623958883807E-13</v>
      </c>
      <c r="P74" s="8">
        <v>1.2859471373966633</v>
      </c>
      <c r="Q74" s="8">
        <v>1.2299281429192848</v>
      </c>
      <c r="R74" s="8">
        <v>130.22660285502769</v>
      </c>
      <c r="S74" s="8">
        <v>52.89745301851692</v>
      </c>
      <c r="T74" s="8">
        <v>125.4438850967241</v>
      </c>
      <c r="U74" s="8">
        <v>48.67417832848453</v>
      </c>
      <c r="V74" s="8">
        <v>1380.3302441492822</v>
      </c>
      <c r="W74" s="8">
        <v>226.88028470346151</v>
      </c>
      <c r="X74" s="8">
        <v>6250.7741314925997</v>
      </c>
      <c r="Y74" s="8">
        <v>3710.3811123399173</v>
      </c>
      <c r="AA74" s="8">
        <v>978.96271583036446</v>
      </c>
      <c r="AB74" s="8">
        <v>463.86247610975954</v>
      </c>
      <c r="AC74" s="8">
        <v>1442.8251919401241</v>
      </c>
      <c r="AD74" s="8">
        <v>242.5659884993492</v>
      </c>
      <c r="AE74" s="8">
        <v>155.12015871721852</v>
      </c>
      <c r="AF74" s="8">
        <v>397.68614721656775</v>
      </c>
      <c r="AG74" s="12">
        <v>0.15661463608133949</v>
      </c>
      <c r="AH74" s="12">
        <v>0.13979481450542106</v>
      </c>
      <c r="AI74" s="8">
        <v>7.2596454134561271E-13</v>
      </c>
      <c r="AJ74" s="8">
        <v>5.1244555859690311E-13</v>
      </c>
      <c r="AK74" s="8">
        <v>-7.2475359047530219E-13</v>
      </c>
      <c r="AL74" s="8">
        <v>5.1159076974727213E-13</v>
      </c>
      <c r="AM74" s="25">
        <v>1.0539474437853136</v>
      </c>
      <c r="AN74" s="25">
        <v>0.99792844930793489</v>
      </c>
      <c r="AO74" s="8">
        <v>130.22660285502769</v>
      </c>
      <c r="AP74" s="8">
        <v>52.89745301851692</v>
      </c>
      <c r="AQ74" s="8">
        <v>125.4438850967241</v>
      </c>
      <c r="AR74" s="8">
        <v>48.67417832848453</v>
      </c>
      <c r="AS74" s="8">
        <v>1317.3640422349852</v>
      </c>
      <c r="AT74" s="8">
        <v>196.08270495872435</v>
      </c>
      <c r="AU74" s="8">
        <v>6250.7741314925997</v>
      </c>
      <c r="AV74" s="8">
        <v>3710.3811123399173</v>
      </c>
      <c r="AX74" s="8">
        <v>937.5866497204712</v>
      </c>
      <c r="AY74" s="8">
        <v>431.3301831938287</v>
      </c>
      <c r="AZ74" s="8">
        <v>1368.9168329142999</v>
      </c>
      <c r="BA74" s="8">
        <v>202.20484987365253</v>
      </c>
      <c r="BB74" s="8">
        <v>122.58786580128758</v>
      </c>
      <c r="BC74" s="8">
        <v>324.7927156749401</v>
      </c>
      <c r="BD74" s="8">
        <v>0.14999528538341031</v>
      </c>
      <c r="BE74" s="8">
        <v>0.12999051670629824</v>
      </c>
      <c r="BF74" s="8">
        <v>2.9892657584819346E-13</v>
      </c>
      <c r="BG74" s="8">
        <v>4.2703796549741926E-13</v>
      </c>
      <c r="BH74" s="8">
        <v>2.9842794901924208E-13</v>
      </c>
      <c r="BI74" s="8">
        <v>-4.2632564145606011E-13</v>
      </c>
      <c r="BJ74" s="8">
        <v>1.4261543359059337</v>
      </c>
      <c r="BK74" s="8">
        <v>1.3701353414285551</v>
      </c>
      <c r="BL74" s="8">
        <v>130.22660285502769</v>
      </c>
      <c r="BM74" s="8">
        <v>52.89745301851692</v>
      </c>
      <c r="BN74" s="8">
        <v>125.4438850967241</v>
      </c>
      <c r="BO74" s="8">
        <v>48.67417832848453</v>
      </c>
      <c r="BP74" s="8">
        <v>1417.9647973375572</v>
      </c>
      <c r="BQ74" s="8">
        <v>247.6844787019489</v>
      </c>
      <c r="BR74" s="8">
        <v>6250.7741314925997</v>
      </c>
      <c r="BS74" s="8">
        <v>3710.3811123399173</v>
      </c>
      <c r="BU74" s="8">
        <v>963.13155090563009</v>
      </c>
      <c r="BV74" s="8">
        <v>449.25197371991635</v>
      </c>
      <c r="BW74" s="8">
        <v>1412.3835246255464</v>
      </c>
      <c r="BX74" s="8">
        <v>226.81750222780769</v>
      </c>
      <c r="BY74" s="8">
        <v>140.50965632737524</v>
      </c>
      <c r="BZ74" s="8">
        <v>367.3271585551829</v>
      </c>
      <c r="CA74" s="8">
        <v>0.15408196339285218</v>
      </c>
      <c r="CB74" s="8">
        <v>0.13539162912912464</v>
      </c>
      <c r="CC74" s="8">
        <v>4.1280336664750529E-13</v>
      </c>
      <c r="CD74" s="8">
        <v>3.4163037239793541E-13</v>
      </c>
      <c r="CE74" s="8">
        <v>4.1211478674085811E-13</v>
      </c>
      <c r="CF74" s="8">
        <v>-3.4106051316484809E-13</v>
      </c>
      <c r="CG74" s="8">
        <v>1.0548777452960532</v>
      </c>
      <c r="CH74" s="8">
        <v>0.99885875081867459</v>
      </c>
      <c r="CI74" s="8">
        <v>130.22660285502769</v>
      </c>
      <c r="CJ74" s="8">
        <v>52.89745301851692</v>
      </c>
      <c r="CK74" s="8">
        <v>125.4438850967241</v>
      </c>
      <c r="CL74" s="8">
        <v>48.67417832848453</v>
      </c>
      <c r="CM74" s="8">
        <v>1327.3554133254875</v>
      </c>
      <c r="CN74" s="8">
        <v>200.30827196253639</v>
      </c>
      <c r="CO74" s="8">
        <v>6250.7741314925997</v>
      </c>
      <c r="CP74" s="8">
        <v>3710.3811123399173</v>
      </c>
    </row>
    <row r="75" spans="1:94" x14ac:dyDescent="0.2">
      <c r="A75" s="6" t="str">
        <f t="shared" si="69"/>
        <v>3- Baseline Portfolio&amp;</v>
      </c>
      <c r="B75" s="6" t="str">
        <f>'Scenario List'!$A$5</f>
        <v>3- Baseline Portfolio</v>
      </c>
      <c r="D75" s="8">
        <v>1000.1657074385715</v>
      </c>
      <c r="E75" s="8">
        <v>465.14600732512054</v>
      </c>
      <c r="F75" s="8">
        <v>1465.3117147636922</v>
      </c>
      <c r="G75" s="8">
        <v>235.45612158834513</v>
      </c>
      <c r="H75" s="8">
        <v>144.33353656278527</v>
      </c>
      <c r="I75" s="8">
        <v>379.78965815113042</v>
      </c>
      <c r="J75" s="8">
        <v>0.15863031571514791</v>
      </c>
      <c r="K75" s="8">
        <v>0.13885046832938819</v>
      </c>
      <c r="L75" s="8">
        <v>3.4163037239793541E-13</v>
      </c>
      <c r="M75" s="8">
        <v>1.8504978504888167E-13</v>
      </c>
      <c r="N75" s="8">
        <v>-3.4106051316484809E-13</v>
      </c>
      <c r="O75" s="8">
        <v>1.8474111129762605E-13</v>
      </c>
      <c r="P75" s="8">
        <v>1.275220194099886</v>
      </c>
      <c r="Q75" s="8">
        <v>1.1818199553619664</v>
      </c>
      <c r="R75" s="8">
        <v>129.47249252392385</v>
      </c>
      <c r="S75" s="8">
        <v>52.639860056497682</v>
      </c>
      <c r="T75" s="8">
        <v>124.68819488832558</v>
      </c>
      <c r="U75" s="8">
        <v>48.432114223879424</v>
      </c>
      <c r="V75" s="8">
        <v>1364.8329104681966</v>
      </c>
      <c r="W75" s="8">
        <v>223.6567779275164</v>
      </c>
      <c r="X75" s="8">
        <v>6305.0098773967447</v>
      </c>
      <c r="Y75" s="8">
        <v>3741.6898918906923</v>
      </c>
      <c r="AA75" s="8">
        <v>1014.4845995531607</v>
      </c>
      <c r="AB75" s="8">
        <v>480.62153299609844</v>
      </c>
      <c r="AC75" s="8">
        <v>1495.1061325492592</v>
      </c>
      <c r="AD75" s="8">
        <v>248.91821325274108</v>
      </c>
      <c r="AE75" s="8">
        <v>159.80906223376323</v>
      </c>
      <c r="AF75" s="8">
        <v>408.72727548650431</v>
      </c>
      <c r="AG75" s="12">
        <v>0.16090134976474105</v>
      </c>
      <c r="AH75" s="12">
        <v>0.14347005863698986</v>
      </c>
      <c r="AI75" s="8">
        <v>1.4234598849913974E-13</v>
      </c>
      <c r="AJ75" s="8">
        <v>5.1244555859690311E-13</v>
      </c>
      <c r="AK75" s="8">
        <v>1.4210854715202004E-13</v>
      </c>
      <c r="AL75" s="8">
        <v>5.1159076974727213E-13</v>
      </c>
      <c r="AM75" s="25">
        <v>1.0570692357077567</v>
      </c>
      <c r="AN75" s="25">
        <v>0.9636689969698371</v>
      </c>
      <c r="AO75" s="8">
        <v>129.47249252392385</v>
      </c>
      <c r="AP75" s="8">
        <v>52.639860056497682</v>
      </c>
      <c r="AQ75" s="8">
        <v>124.68819488832558</v>
      </c>
      <c r="AR75" s="8">
        <v>48.432114223879424</v>
      </c>
      <c r="AS75" s="8">
        <v>1310.8171684399563</v>
      </c>
      <c r="AT75" s="8">
        <v>193.79714413550786</v>
      </c>
      <c r="AU75" s="8">
        <v>6305.0098773967447</v>
      </c>
      <c r="AV75" s="8">
        <v>3741.6898918906923</v>
      </c>
      <c r="AX75" s="8">
        <v>970.88017655288809</v>
      </c>
      <c r="AY75" s="8">
        <v>446.48460546394818</v>
      </c>
      <c r="AZ75" s="8">
        <v>1417.3647820168362</v>
      </c>
      <c r="BA75" s="8">
        <v>206.53000969261711</v>
      </c>
      <c r="BB75" s="8">
        <v>125.67213470161295</v>
      </c>
      <c r="BC75" s="8">
        <v>332.20214439423006</v>
      </c>
      <c r="BD75" s="8">
        <v>0.153985512383329</v>
      </c>
      <c r="BE75" s="8">
        <v>0.13327986394431049</v>
      </c>
      <c r="BF75" s="8">
        <v>3.8433416894767731E-13</v>
      </c>
      <c r="BG75" s="8">
        <v>1.9928438389879564E-13</v>
      </c>
      <c r="BH75" s="8">
        <v>3.836930773104541E-13</v>
      </c>
      <c r="BI75" s="8">
        <v>-1.9895196601282805E-13</v>
      </c>
      <c r="BJ75" s="8">
        <v>1.4182028464420646</v>
      </c>
      <c r="BK75" s="8">
        <v>1.324802607704145</v>
      </c>
      <c r="BL75" s="8">
        <v>129.47249252392385</v>
      </c>
      <c r="BM75" s="8">
        <v>52.639860056497682</v>
      </c>
      <c r="BN75" s="8">
        <v>124.68819488832558</v>
      </c>
      <c r="BO75" s="8">
        <v>48.432114223879424</v>
      </c>
      <c r="BP75" s="8">
        <v>1404.9539138796567</v>
      </c>
      <c r="BQ75" s="8">
        <v>244.31985467960803</v>
      </c>
      <c r="BR75" s="8">
        <v>6305.0098773967447</v>
      </c>
      <c r="BS75" s="8">
        <v>3741.6898918906923</v>
      </c>
      <c r="BU75" s="8">
        <v>994.45890551006119</v>
      </c>
      <c r="BV75" s="8">
        <v>463.77595943360416</v>
      </c>
      <c r="BW75" s="8">
        <v>1458.2348649436653</v>
      </c>
      <c r="BX75" s="8">
        <v>229.14993092362448</v>
      </c>
      <c r="BY75" s="8">
        <v>142.96348867126892</v>
      </c>
      <c r="BZ75" s="8">
        <v>372.1134195948934</v>
      </c>
      <c r="CA75" s="8">
        <v>0.15772519390892059</v>
      </c>
      <c r="CB75" s="8">
        <v>0.13844149611770631</v>
      </c>
      <c r="CC75" s="8">
        <v>4.4127256434733322E-13</v>
      </c>
      <c r="CD75" s="8">
        <v>3.2739577354802139E-13</v>
      </c>
      <c r="CE75" s="8">
        <v>-4.4053649617126212E-13</v>
      </c>
      <c r="CF75" s="8">
        <v>-3.2684965844964609E-13</v>
      </c>
      <c r="CG75" s="8">
        <v>1.0715072371473464</v>
      </c>
      <c r="CH75" s="8">
        <v>0.97810699840942683</v>
      </c>
      <c r="CI75" s="8">
        <v>129.47249252392385</v>
      </c>
      <c r="CJ75" s="8">
        <v>52.639860056497682</v>
      </c>
      <c r="CK75" s="8">
        <v>124.68819488832558</v>
      </c>
      <c r="CL75" s="8">
        <v>48.432114223879424</v>
      </c>
      <c r="CM75" s="8">
        <v>1329.8064278751051</v>
      </c>
      <c r="CN75" s="8">
        <v>199.28616199307052</v>
      </c>
      <c r="CO75" s="8">
        <v>6305.0098773967447</v>
      </c>
      <c r="CP75" s="8">
        <v>3741.6898918906923</v>
      </c>
    </row>
    <row r="76" spans="1:94" x14ac:dyDescent="0.2">
      <c r="A76" s="6" t="str">
        <f t="shared" si="69"/>
        <v>3- Baseline Portfolio&amp;</v>
      </c>
      <c r="B76" s="6" t="str">
        <f>'Scenario List'!$A$5</f>
        <v>3- Baseline Portfolio</v>
      </c>
      <c r="D76" s="8">
        <v>1042.7005576768286</v>
      </c>
      <c r="E76" s="8">
        <v>485.85482855627163</v>
      </c>
      <c r="F76" s="8">
        <v>1528.5553862331003</v>
      </c>
      <c r="G76" s="8">
        <v>248.44478644520689</v>
      </c>
      <c r="H76" s="8">
        <v>152.52697892816374</v>
      </c>
      <c r="I76" s="8">
        <v>400.97176537337066</v>
      </c>
      <c r="J76" s="8">
        <v>0.1638147101765422</v>
      </c>
      <c r="K76" s="8">
        <v>0.14360879654803857</v>
      </c>
      <c r="L76" s="8">
        <v>3.7009957009776334E-13</v>
      </c>
      <c r="M76" s="8">
        <v>2.4198818044853759E-13</v>
      </c>
      <c r="N76" s="8">
        <v>-3.694822225952521E-13</v>
      </c>
      <c r="O76" s="8">
        <v>-2.4158453015843406E-13</v>
      </c>
      <c r="P76" s="8">
        <v>1.2819242235610075</v>
      </c>
      <c r="Q76" s="8">
        <v>1.2095090572630023</v>
      </c>
      <c r="R76" s="8">
        <v>186.03511333048326</v>
      </c>
      <c r="S76" s="8">
        <v>84.074972906626684</v>
      </c>
      <c r="T76" s="8">
        <v>178.00635475948641</v>
      </c>
      <c r="U76" s="8">
        <v>78.092906055123763</v>
      </c>
      <c r="V76" s="8">
        <v>1460.4634351454831</v>
      </c>
      <c r="W76" s="8">
        <v>278.16434738697495</v>
      </c>
      <c r="X76" s="8">
        <v>6365.1216459933057</v>
      </c>
      <c r="Y76" s="8">
        <v>3774.353803650557</v>
      </c>
      <c r="AA76" s="8">
        <v>1060.0073339265987</v>
      </c>
      <c r="AB76" s="8">
        <v>503.24070031634233</v>
      </c>
      <c r="AC76" s="8">
        <v>1563.248034242941</v>
      </c>
      <c r="AD76" s="8">
        <v>264.65906496956939</v>
      </c>
      <c r="AE76" s="8">
        <v>169.91285068823453</v>
      </c>
      <c r="AF76" s="8">
        <v>434.57191565780391</v>
      </c>
      <c r="AG76" s="12">
        <v>0.16653371182526391</v>
      </c>
      <c r="AH76" s="12">
        <v>0.14874770630802073</v>
      </c>
      <c r="AI76" s="8">
        <v>2.5622277929845155E-13</v>
      </c>
      <c r="AJ76" s="8">
        <v>2.5622277929845155E-13</v>
      </c>
      <c r="AK76" s="8">
        <v>2.5579538487363607E-13</v>
      </c>
      <c r="AL76" s="8">
        <v>2.5579538487363607E-13</v>
      </c>
      <c r="AM76" s="25">
        <v>1.0596001518554088</v>
      </c>
      <c r="AN76" s="25">
        <v>0.98718498555740353</v>
      </c>
      <c r="AO76" s="8">
        <v>186.03511333048326</v>
      </c>
      <c r="AP76" s="8">
        <v>84.074972906626684</v>
      </c>
      <c r="AQ76" s="8">
        <v>178.00635475948641</v>
      </c>
      <c r="AR76" s="8">
        <v>78.092906055123763</v>
      </c>
      <c r="AS76" s="8">
        <v>1375.142558582055</v>
      </c>
      <c r="AT76" s="8">
        <v>229.19499613239782</v>
      </c>
      <c r="AU76" s="8">
        <v>6365.1216459933057</v>
      </c>
      <c r="AV76" s="8">
        <v>3774.353803650557</v>
      </c>
      <c r="AX76" s="8">
        <v>1012.0506882442135</v>
      </c>
      <c r="AY76" s="8">
        <v>466.39732443228837</v>
      </c>
      <c r="AZ76" s="8">
        <v>1478.4480126765018</v>
      </c>
      <c r="BA76" s="8">
        <v>218.1499447216824</v>
      </c>
      <c r="BB76" s="8">
        <v>133.0694748041806</v>
      </c>
      <c r="BC76" s="8">
        <v>351.21941952586303</v>
      </c>
      <c r="BD76" s="8">
        <v>0.15899942601745493</v>
      </c>
      <c r="BE76" s="8">
        <v>0.13785755443446945</v>
      </c>
      <c r="BF76" s="8">
        <v>3.8433416894767731E-13</v>
      </c>
      <c r="BG76" s="8">
        <v>7.1172994249569872E-14</v>
      </c>
      <c r="BH76" s="8">
        <v>3.836930773104541E-13</v>
      </c>
      <c r="BI76" s="8">
        <v>0</v>
      </c>
      <c r="BJ76" s="8">
        <v>1.4187377367263956</v>
      </c>
      <c r="BK76" s="8">
        <v>1.3463225704283903</v>
      </c>
      <c r="BL76" s="8">
        <v>186.03511333048326</v>
      </c>
      <c r="BM76" s="8">
        <v>84.074972906626684</v>
      </c>
      <c r="BN76" s="8">
        <v>178.00635475948641</v>
      </c>
      <c r="BO76" s="8">
        <v>78.092906055123763</v>
      </c>
      <c r="BP76" s="8">
        <v>1511.5576911422129</v>
      </c>
      <c r="BQ76" s="8">
        <v>307.25771100118413</v>
      </c>
      <c r="BR76" s="8">
        <v>6365.1216459933057</v>
      </c>
      <c r="BS76" s="8">
        <v>3774.353803650557</v>
      </c>
      <c r="BU76" s="8">
        <v>1037.3171849939645</v>
      </c>
      <c r="BV76" s="8">
        <v>484.37242769831647</v>
      </c>
      <c r="BW76" s="8">
        <v>1521.6896126922809</v>
      </c>
      <c r="BX76" s="8">
        <v>242.28860801527043</v>
      </c>
      <c r="BY76" s="8">
        <v>151.04457807020864</v>
      </c>
      <c r="BZ76" s="8">
        <v>393.33318608547904</v>
      </c>
      <c r="CA76" s="8">
        <v>0.16296894901402728</v>
      </c>
      <c r="CB76" s="8">
        <v>0.14317062903235223</v>
      </c>
      <c r="CC76" s="8">
        <v>1.9928438389879564E-13</v>
      </c>
      <c r="CD76" s="8">
        <v>7.1172994249569872E-14</v>
      </c>
      <c r="CE76" s="8">
        <v>-1.9895196601282805E-13</v>
      </c>
      <c r="CF76" s="8">
        <v>0</v>
      </c>
      <c r="CG76" s="8">
        <v>1.0615219703534862</v>
      </c>
      <c r="CH76" s="8">
        <v>0.9891068040554809</v>
      </c>
      <c r="CI76" s="8">
        <v>186.03511333048326</v>
      </c>
      <c r="CJ76" s="8">
        <v>84.074972906626684</v>
      </c>
      <c r="CK76" s="8">
        <v>178.00635475948641</v>
      </c>
      <c r="CL76" s="8">
        <v>78.092906055123763</v>
      </c>
      <c r="CM76" s="8">
        <v>1382.1945027199999</v>
      </c>
      <c r="CN76" s="8">
        <v>234.05037727999994</v>
      </c>
      <c r="CO76" s="8">
        <v>6365.1216459933057</v>
      </c>
      <c r="CP76" s="8">
        <v>3774.353803650557</v>
      </c>
    </row>
    <row r="77" spans="1:94" x14ac:dyDescent="0.2">
      <c r="A77" s="6" t="str">
        <f t="shared" si="69"/>
        <v>3- Baseline Portfolio&amp;</v>
      </c>
      <c r="B77" s="6" t="str">
        <f>'Scenario List'!$A$5</f>
        <v>3- Baseline Portfolio</v>
      </c>
      <c r="D77" s="8">
        <v>1083.9712768372713</v>
      </c>
      <c r="E77" s="8">
        <v>505.56289055736704</v>
      </c>
      <c r="F77" s="8">
        <v>1589.5341673946382</v>
      </c>
      <c r="G77" s="8">
        <v>258.84689481035463</v>
      </c>
      <c r="H77" s="8">
        <v>159.24636609543057</v>
      </c>
      <c r="I77" s="8">
        <v>418.0932609057852</v>
      </c>
      <c r="J77" s="8">
        <v>0.16862051087625934</v>
      </c>
      <c r="K77" s="8">
        <v>0.14795873624522249</v>
      </c>
      <c r="L77" s="8">
        <v>2.8469197699827953E-14</v>
      </c>
      <c r="M77" s="8">
        <v>4.5550716319724724E-13</v>
      </c>
      <c r="N77" s="8">
        <v>0</v>
      </c>
      <c r="O77" s="8">
        <v>4.5474735088646412E-13</v>
      </c>
      <c r="P77" s="8">
        <v>1.3012699499706213</v>
      </c>
      <c r="Q77" s="8">
        <v>1.1827854494387817</v>
      </c>
      <c r="R77" s="8">
        <v>185.30966984234175</v>
      </c>
      <c r="S77" s="8">
        <v>83.843394478987605</v>
      </c>
      <c r="T77" s="8">
        <v>177.28710048166238</v>
      </c>
      <c r="U77" s="8">
        <v>77.883713982972651</v>
      </c>
      <c r="V77" s="8">
        <v>1477.7560106515916</v>
      </c>
      <c r="W77" s="8">
        <v>278.9192836454954</v>
      </c>
      <c r="X77" s="8">
        <v>6428.4663307225646</v>
      </c>
      <c r="Y77" s="8">
        <v>3808.6604994833697</v>
      </c>
      <c r="AA77" s="8">
        <v>1105.8656363800433</v>
      </c>
      <c r="AB77" s="8">
        <v>525.12444635374516</v>
      </c>
      <c r="AC77" s="8">
        <v>1630.9900827337883</v>
      </c>
      <c r="AD77" s="8">
        <v>279.62610747499411</v>
      </c>
      <c r="AE77" s="8">
        <v>178.80792189180869</v>
      </c>
      <c r="AF77" s="8">
        <v>458.4340293668028</v>
      </c>
      <c r="AG77" s="12">
        <v>0.17202635581910922</v>
      </c>
      <c r="AH77" s="12">
        <v>0.15368364827630854</v>
      </c>
      <c r="AI77" s="8">
        <v>3.1316117469810747E-13</v>
      </c>
      <c r="AJ77" s="8">
        <v>2.8469197699827953E-14</v>
      </c>
      <c r="AK77" s="8">
        <v>3.1263880373444408E-13</v>
      </c>
      <c r="AL77" s="8">
        <v>0</v>
      </c>
      <c r="AM77" s="25">
        <v>1.0467137595070592</v>
      </c>
      <c r="AN77" s="25">
        <v>0.92822925897521968</v>
      </c>
      <c r="AO77" s="8">
        <v>185.30966984234175</v>
      </c>
      <c r="AP77" s="8">
        <v>83.843394478987605</v>
      </c>
      <c r="AQ77" s="8">
        <v>177.28710048166238</v>
      </c>
      <c r="AR77" s="8">
        <v>77.883713982972651</v>
      </c>
      <c r="AS77" s="8">
        <v>1376.4661535287851</v>
      </c>
      <c r="AT77" s="8">
        <v>227.33491473009178</v>
      </c>
      <c r="AU77" s="8">
        <v>6428.4663307225646</v>
      </c>
      <c r="AV77" s="8">
        <v>3808.6604994833697</v>
      </c>
      <c r="AX77" s="8">
        <v>1055.793122340739</v>
      </c>
      <c r="AY77" s="8">
        <v>487.16434350130277</v>
      </c>
      <c r="AZ77" s="8">
        <v>1542.9574658420418</v>
      </c>
      <c r="BA77" s="8">
        <v>231.09270786998908</v>
      </c>
      <c r="BB77" s="8">
        <v>140.84781903936627</v>
      </c>
      <c r="BC77" s="8">
        <v>371.94052690935536</v>
      </c>
      <c r="BD77" s="8">
        <v>0.16423717073774688</v>
      </c>
      <c r="BE77" s="8">
        <v>0.14257419196397123</v>
      </c>
      <c r="BF77" s="8">
        <v>1.4234598849913976E-14</v>
      </c>
      <c r="BG77" s="8">
        <v>4.8397636089707518E-13</v>
      </c>
      <c r="BH77" s="8">
        <v>0</v>
      </c>
      <c r="BI77" s="8">
        <v>-4.8316906031686813E-13</v>
      </c>
      <c r="BJ77" s="8">
        <v>1.4457307912220134</v>
      </c>
      <c r="BK77" s="8">
        <v>1.3272462906901739</v>
      </c>
      <c r="BL77" s="8">
        <v>185.30966984234175</v>
      </c>
      <c r="BM77" s="8">
        <v>83.843394478987605</v>
      </c>
      <c r="BN77" s="8">
        <v>177.28710048166238</v>
      </c>
      <c r="BO77" s="8">
        <v>77.883713982972651</v>
      </c>
      <c r="BP77" s="8">
        <v>1525.1663520111558</v>
      </c>
      <c r="BQ77" s="8">
        <v>308.85205769422782</v>
      </c>
      <c r="BR77" s="8">
        <v>6428.4663307225646</v>
      </c>
      <c r="BS77" s="8">
        <v>3808.6604994833697</v>
      </c>
      <c r="BU77" s="8">
        <v>1082.23362615461</v>
      </c>
      <c r="BV77" s="8">
        <v>506.11297617537292</v>
      </c>
      <c r="BW77" s="8">
        <v>1588.3466023299829</v>
      </c>
      <c r="BX77" s="8">
        <v>256.32472832921781</v>
      </c>
      <c r="BY77" s="8">
        <v>159.79645171343637</v>
      </c>
      <c r="BZ77" s="8">
        <v>416.12118004265415</v>
      </c>
      <c r="CA77" s="8">
        <v>0.16835020523985011</v>
      </c>
      <c r="CB77" s="8">
        <v>0.14811972506458992</v>
      </c>
      <c r="CC77" s="8">
        <v>3.8433416894767731E-13</v>
      </c>
      <c r="CD77" s="8">
        <v>5.4091475629673104E-13</v>
      </c>
      <c r="CE77" s="8">
        <v>-3.836930773104541E-13</v>
      </c>
      <c r="CF77" s="8">
        <v>5.4001247917767614E-13</v>
      </c>
      <c r="CG77" s="8">
        <v>1.0787161867594091</v>
      </c>
      <c r="CH77" s="8">
        <v>0.96023168622756949</v>
      </c>
      <c r="CI77" s="8">
        <v>185.30966984234175</v>
      </c>
      <c r="CJ77" s="8">
        <v>83.843394478987605</v>
      </c>
      <c r="CK77" s="8">
        <v>177.28710048166238</v>
      </c>
      <c r="CL77" s="8">
        <v>77.883713982972651</v>
      </c>
      <c r="CM77" s="8">
        <v>1397.9197796699998</v>
      </c>
      <c r="CN77" s="8">
        <v>235.44633782999995</v>
      </c>
      <c r="CO77" s="8">
        <v>6428.4663307225646</v>
      </c>
      <c r="CP77" s="8">
        <v>3808.6604994833697</v>
      </c>
    </row>
    <row r="78" spans="1:94" x14ac:dyDescent="0.2">
      <c r="A78" s="6" t="str">
        <f t="shared" si="69"/>
        <v>3- Baseline Portfolio&amp;</v>
      </c>
      <c r="B78" s="6" t="str">
        <f>'Scenario List'!$A$5</f>
        <v>3- Baseline Portfolio</v>
      </c>
      <c r="D78" s="8">
        <v>1124.9241977495542</v>
      </c>
      <c r="E78" s="8">
        <v>521.32444954158677</v>
      </c>
      <c r="F78" s="8">
        <v>1646.248647291141</v>
      </c>
      <c r="G78" s="8">
        <v>267.85255632169117</v>
      </c>
      <c r="H78" s="8">
        <v>161.60239339873289</v>
      </c>
      <c r="I78" s="8">
        <v>429.45494972042405</v>
      </c>
      <c r="J78" s="8">
        <v>0.17309518811670793</v>
      </c>
      <c r="K78" s="8">
        <v>0.15102952570374312</v>
      </c>
      <c r="L78" s="8">
        <v>2.7045737814836552E-13</v>
      </c>
      <c r="M78" s="8">
        <v>5.5514935514664501E-13</v>
      </c>
      <c r="N78" s="8">
        <v>2.7000623958883807E-13</v>
      </c>
      <c r="O78" s="8">
        <v>5.5422333389287814E-13</v>
      </c>
      <c r="P78" s="8">
        <v>1.3991472283388537</v>
      </c>
      <c r="Q78" s="8">
        <v>1.2716686166992186</v>
      </c>
      <c r="R78" s="8">
        <v>273.21870994708229</v>
      </c>
      <c r="S78" s="8">
        <v>84.326965467645735</v>
      </c>
      <c r="T78" s="8">
        <v>260.20555784331259</v>
      </c>
      <c r="U78" s="8">
        <v>78.401677516587071</v>
      </c>
      <c r="V78" s="8">
        <v>1659.9390243737203</v>
      </c>
      <c r="W78" s="8">
        <v>287.52214623170067</v>
      </c>
      <c r="X78" s="8">
        <v>6498.8761963220131</v>
      </c>
      <c r="Y78" s="8">
        <v>3844.8727782553551</v>
      </c>
      <c r="AA78" s="8">
        <v>1145.6152237117044</v>
      </c>
      <c r="AB78" s="8">
        <v>539.12321649614137</v>
      </c>
      <c r="AC78" s="8">
        <v>1684.7384402078458</v>
      </c>
      <c r="AD78" s="8">
        <v>287.24914550768796</v>
      </c>
      <c r="AE78" s="8">
        <v>179.40116035328739</v>
      </c>
      <c r="AF78" s="8">
        <v>466.65030586097532</v>
      </c>
      <c r="AG78" s="12">
        <v>0.17627897333389059</v>
      </c>
      <c r="AH78" s="12">
        <v>0.15618589106052158</v>
      </c>
      <c r="AI78" s="8">
        <v>7.4019914019552668E-13</v>
      </c>
      <c r="AJ78" s="8">
        <v>1.708151861989677E-13</v>
      </c>
      <c r="AK78" s="8">
        <v>7.3896444519050419E-13</v>
      </c>
      <c r="AL78" s="8">
        <v>1.7053025658242404E-13</v>
      </c>
      <c r="AM78" s="25">
        <v>1.1514861261049671</v>
      </c>
      <c r="AN78" s="25">
        <v>1.024007514465332</v>
      </c>
      <c r="AO78" s="8">
        <v>273.21870994708229</v>
      </c>
      <c r="AP78" s="8">
        <v>84.326965467645735</v>
      </c>
      <c r="AQ78" s="8">
        <v>260.20555784331259</v>
      </c>
      <c r="AR78" s="8">
        <v>78.401677516587071</v>
      </c>
      <c r="AS78" s="8">
        <v>1518.3265460712448</v>
      </c>
      <c r="AT78" s="8">
        <v>240.64965012602687</v>
      </c>
      <c r="AU78" s="8">
        <v>6498.8761963220131</v>
      </c>
      <c r="AV78" s="8">
        <v>3844.8727782553551</v>
      </c>
      <c r="AX78" s="8">
        <v>1095.1455088349182</v>
      </c>
      <c r="AY78" s="8">
        <v>503.05913808397861</v>
      </c>
      <c r="AZ78" s="8">
        <v>1598.2046469188967</v>
      </c>
      <c r="BA78" s="8">
        <v>238.80389570236741</v>
      </c>
      <c r="BB78" s="8">
        <v>143.33708194112467</v>
      </c>
      <c r="BC78" s="8">
        <v>382.14097764349208</v>
      </c>
      <c r="BD78" s="8">
        <v>0.16851305914316494</v>
      </c>
      <c r="BE78" s="8">
        <v>0.14573800076433271</v>
      </c>
      <c r="BF78" s="8">
        <v>1.9928438389879564E-13</v>
      </c>
      <c r="BG78" s="8">
        <v>5.1244555859690311E-13</v>
      </c>
      <c r="BH78" s="8">
        <v>-1.9895196601282805E-13</v>
      </c>
      <c r="BI78" s="8">
        <v>5.1159076974727213E-13</v>
      </c>
      <c r="BJ78" s="8">
        <v>1.56538446306862</v>
      </c>
      <c r="BK78" s="8">
        <v>1.4379058514289849</v>
      </c>
      <c r="BL78" s="8">
        <v>273.21870994708229</v>
      </c>
      <c r="BM78" s="8">
        <v>84.326965467645735</v>
      </c>
      <c r="BN78" s="8">
        <v>260.20555784331259</v>
      </c>
      <c r="BO78" s="8">
        <v>78.401677516587071</v>
      </c>
      <c r="BP78" s="8">
        <v>1741.6238183218782</v>
      </c>
      <c r="BQ78" s="8">
        <v>316.61035040790387</v>
      </c>
      <c r="BR78" s="8">
        <v>6498.8761963220131</v>
      </c>
      <c r="BS78" s="8">
        <v>3844.8727782553551</v>
      </c>
      <c r="BU78" s="8">
        <v>1123.5137550369798</v>
      </c>
      <c r="BV78" s="8">
        <v>521.9155001059338</v>
      </c>
      <c r="BW78" s="8">
        <v>1645.4292551429135</v>
      </c>
      <c r="BX78" s="8">
        <v>265.33459774779271</v>
      </c>
      <c r="BY78" s="8">
        <v>162.19344396307989</v>
      </c>
      <c r="BZ78" s="8">
        <v>427.52804171087257</v>
      </c>
      <c r="CA78" s="8">
        <v>0.17287815940744083</v>
      </c>
      <c r="CB78" s="8">
        <v>0.15120075513002218</v>
      </c>
      <c r="CC78" s="8">
        <v>6.1208775054630098E-13</v>
      </c>
      <c r="CD78" s="8">
        <v>8.5407593099483852E-13</v>
      </c>
      <c r="CE78" s="8">
        <v>6.1106675275368616E-13</v>
      </c>
      <c r="CF78" s="8">
        <v>8.5265128291212022E-13</v>
      </c>
      <c r="CG78" s="8">
        <v>1.152970082600252</v>
      </c>
      <c r="CH78" s="8">
        <v>1.0254914709606169</v>
      </c>
      <c r="CI78" s="8">
        <v>273.21870994708229</v>
      </c>
      <c r="CJ78" s="8">
        <v>84.326965467645735</v>
      </c>
      <c r="CK78" s="8">
        <v>260.20555784331259</v>
      </c>
      <c r="CL78" s="8">
        <v>78.401677516587071</v>
      </c>
      <c r="CM78" s="8">
        <v>1515.7246542</v>
      </c>
      <c r="CN78" s="8">
        <v>240.86534579999994</v>
      </c>
      <c r="CO78" s="8">
        <v>6498.8761963220131</v>
      </c>
      <c r="CP78" s="8">
        <v>3844.8727782553551</v>
      </c>
    </row>
    <row r="79" spans="1:94" x14ac:dyDescent="0.2">
      <c r="A79" s="6" t="str">
        <f t="shared" si="69"/>
        <v>3- Baseline Portfolio&amp;</v>
      </c>
      <c r="B79" s="6" t="str">
        <f>'Scenario List'!$A$5</f>
        <v>3- Baseline Portfolio</v>
      </c>
      <c r="D79" s="8">
        <v>1143.7466415600222</v>
      </c>
      <c r="E79" s="8">
        <v>538.43950601043912</v>
      </c>
      <c r="F79" s="8">
        <v>1682.1861475704613</v>
      </c>
      <c r="G79" s="8">
        <v>253.66107052107219</v>
      </c>
      <c r="H79" s="8">
        <v>164.67023813620233</v>
      </c>
      <c r="I79" s="8">
        <v>418.33130865727452</v>
      </c>
      <c r="J79" s="8">
        <v>0.1741624848396322</v>
      </c>
      <c r="K79" s="8">
        <v>0.1541851418375145</v>
      </c>
      <c r="L79" s="8">
        <v>2.8469197699827949E-13</v>
      </c>
      <c r="M79" s="8">
        <v>2.9892657584819346E-13</v>
      </c>
      <c r="N79" s="8">
        <v>2.8421709430404007E-13</v>
      </c>
      <c r="O79" s="8">
        <v>-2.9842794901924208E-13</v>
      </c>
      <c r="P79" s="8">
        <v>1.562206233612599</v>
      </c>
      <c r="Q79" s="8">
        <v>1.2308002396240225</v>
      </c>
      <c r="R79" s="8">
        <v>272.52024399977125</v>
      </c>
      <c r="S79" s="8">
        <v>145.44918856238672</v>
      </c>
      <c r="T79" s="8">
        <v>259.48240699056805</v>
      </c>
      <c r="U79" s="8">
        <v>139.53345913711894</v>
      </c>
      <c r="V79" s="8">
        <v>1666.0227745957611</v>
      </c>
      <c r="W79" s="8">
        <v>-68.824768065341217</v>
      </c>
      <c r="X79" s="8">
        <v>6567.124042891197</v>
      </c>
      <c r="Y79" s="8">
        <v>3884.1001915663046</v>
      </c>
      <c r="AA79" s="8">
        <v>1173.1586074094414</v>
      </c>
      <c r="AB79" s="8">
        <v>557.7415578253981</v>
      </c>
      <c r="AC79" s="8">
        <v>1730.9001652348395</v>
      </c>
      <c r="AD79" s="8">
        <v>281.56360653175801</v>
      </c>
      <c r="AE79" s="8">
        <v>183.97228995116132</v>
      </c>
      <c r="AF79" s="8">
        <v>465.53589648291933</v>
      </c>
      <c r="AG79" s="12">
        <v>0.17864115246602752</v>
      </c>
      <c r="AH79" s="12">
        <v>0.15971239153524899</v>
      </c>
      <c r="AI79" s="8">
        <v>1.708151861989677E-13</v>
      </c>
      <c r="AJ79" s="8">
        <v>5.6938395399655898E-13</v>
      </c>
      <c r="AK79" s="8">
        <v>0</v>
      </c>
      <c r="AL79" s="8">
        <v>5.6843418860808015E-13</v>
      </c>
      <c r="AM79" s="25">
        <v>1.2996442036138205</v>
      </c>
      <c r="AN79" s="25">
        <v>0.96823820962524398</v>
      </c>
      <c r="AO79" s="8">
        <v>272.52024399977125</v>
      </c>
      <c r="AP79" s="8">
        <v>145.44918856238672</v>
      </c>
      <c r="AQ79" s="8">
        <v>259.48240699056805</v>
      </c>
      <c r="AR79" s="8">
        <v>139.53345913711894</v>
      </c>
      <c r="AS79" s="8">
        <v>1506.8598379533132</v>
      </c>
      <c r="AT79" s="8">
        <v>-120.36353400262297</v>
      </c>
      <c r="AU79" s="8">
        <v>6567.124042891197</v>
      </c>
      <c r="AV79" s="8">
        <v>3884.1001915663046</v>
      </c>
      <c r="AX79" s="8">
        <v>1109.3979620450634</v>
      </c>
      <c r="AY79" s="8">
        <v>519.34654707526431</v>
      </c>
      <c r="AZ79" s="8">
        <v>1628.7445091203276</v>
      </c>
      <c r="BA79" s="8">
        <v>220.00748843497897</v>
      </c>
      <c r="BB79" s="8">
        <v>145.57727920102747</v>
      </c>
      <c r="BC79" s="8">
        <v>365.5847676360064</v>
      </c>
      <c r="BD79" s="8">
        <v>0.16893208576530061</v>
      </c>
      <c r="BE79" s="8">
        <v>0.14871776704674147</v>
      </c>
      <c r="BF79" s="8">
        <v>1.9928438389879564E-13</v>
      </c>
      <c r="BG79" s="8">
        <v>3.1316117469810747E-13</v>
      </c>
      <c r="BH79" s="8">
        <v>-1.9895196601282805E-13</v>
      </c>
      <c r="BI79" s="8">
        <v>-3.1263880373444408E-13</v>
      </c>
      <c r="BJ79" s="8">
        <v>1.7317248683782249</v>
      </c>
      <c r="BK79" s="8">
        <v>1.4003188743896484</v>
      </c>
      <c r="BL79" s="8">
        <v>272.52024399977125</v>
      </c>
      <c r="BM79" s="8">
        <v>145.44918856238672</v>
      </c>
      <c r="BN79" s="8">
        <v>259.48240699056805</v>
      </c>
      <c r="BO79" s="8">
        <v>139.53345913711894</v>
      </c>
      <c r="BP79" s="8">
        <v>1751.5114310091647</v>
      </c>
      <c r="BQ79" s="8">
        <v>-37.039221283513278</v>
      </c>
      <c r="BR79" s="8">
        <v>6567.124042891197</v>
      </c>
      <c r="BS79" s="8">
        <v>3884.1001915663046</v>
      </c>
      <c r="BU79" s="8">
        <v>1148.2532848548165</v>
      </c>
      <c r="BV79" s="8">
        <v>541.57542562173967</v>
      </c>
      <c r="BW79" s="8">
        <v>1689.8287104765561</v>
      </c>
      <c r="BX79" s="8">
        <v>256.83331783275969</v>
      </c>
      <c r="BY79" s="8">
        <v>167.80615774750277</v>
      </c>
      <c r="BZ79" s="8">
        <v>424.63947558026246</v>
      </c>
      <c r="CA79" s="8">
        <v>0.1748487278990537</v>
      </c>
      <c r="CB79" s="8">
        <v>0.15508312982810976</v>
      </c>
      <c r="CC79" s="8">
        <v>9.5371812294423628E-13</v>
      </c>
      <c r="CD79" s="8">
        <v>3.4163037239793541E-13</v>
      </c>
      <c r="CE79" s="8">
        <v>-9.5212726591853425E-13</v>
      </c>
      <c r="CF79" s="8">
        <v>3.4106051316484809E-13</v>
      </c>
      <c r="CG79" s="8">
        <v>1.2912563237004906</v>
      </c>
      <c r="CH79" s="8">
        <v>0.95985032971191397</v>
      </c>
      <c r="CI79" s="8">
        <v>272.52024399977125</v>
      </c>
      <c r="CJ79" s="8">
        <v>145.44918856238672</v>
      </c>
      <c r="CK79" s="8">
        <v>259.48240699056805</v>
      </c>
      <c r="CL79" s="8">
        <v>139.53345913711894</v>
      </c>
      <c r="CM79" s="8">
        <v>1492.9044385299999</v>
      </c>
      <c r="CN79" s="8">
        <v>605.74281614043275</v>
      </c>
      <c r="CO79" s="8">
        <v>6567.124042891197</v>
      </c>
      <c r="CP79" s="8">
        <v>3884.1001915663046</v>
      </c>
    </row>
    <row r="80" spans="1:94" x14ac:dyDescent="0.2">
      <c r="A80" s="6" t="str">
        <f t="shared" si="69"/>
        <v>3- Baseline Portfolio&amp;</v>
      </c>
      <c r="B80" s="6" t="str">
        <f>'Scenario List'!$A$5</f>
        <v>3- Baseline Portfolio</v>
      </c>
      <c r="D80" s="8">
        <v>1212.0273747865708</v>
      </c>
      <c r="E80" s="8">
        <v>569.38516099159813</v>
      </c>
      <c r="F80" s="8">
        <v>1781.4125357781691</v>
      </c>
      <c r="G80" s="8">
        <v>285.37551414123527</v>
      </c>
      <c r="H80" s="8">
        <v>181.07454072403402</v>
      </c>
      <c r="I80" s="8">
        <v>466.45005486526929</v>
      </c>
      <c r="J80" s="8">
        <v>0.18243481198174669</v>
      </c>
      <c r="K80" s="8">
        <v>0.16111334363462498</v>
      </c>
      <c r="L80" s="8">
        <v>4.9821095974698914E-13</v>
      </c>
      <c r="M80" s="8">
        <v>1.5658058734905374E-13</v>
      </c>
      <c r="N80" s="8">
        <v>4.9737991503207013E-13</v>
      </c>
      <c r="O80" s="8">
        <v>1.5631940186722204E-13</v>
      </c>
      <c r="P80" s="8">
        <v>1.4121554822200086</v>
      </c>
      <c r="Q80" s="8">
        <v>1.1948694791259782</v>
      </c>
      <c r="R80" s="8">
        <v>482.18976612523994</v>
      </c>
      <c r="S80" s="8">
        <v>234.76170100644845</v>
      </c>
      <c r="T80" s="8">
        <v>457.52410627781245</v>
      </c>
      <c r="U80" s="8">
        <v>223.78922501624078</v>
      </c>
      <c r="V80" s="8">
        <v>2029.8856636579114</v>
      </c>
      <c r="W80" s="8">
        <v>109.48660482967718</v>
      </c>
      <c r="X80" s="8">
        <v>6643.6189541930125</v>
      </c>
      <c r="Y80" s="8">
        <v>3925.6346422238694</v>
      </c>
      <c r="AA80" s="8">
        <v>1248.9759832043355</v>
      </c>
      <c r="AB80" s="8">
        <v>591.67134977712317</v>
      </c>
      <c r="AC80" s="8">
        <v>1840.6473329814587</v>
      </c>
      <c r="AD80" s="8">
        <v>320.16458356057501</v>
      </c>
      <c r="AE80" s="8">
        <v>203.36072950955898</v>
      </c>
      <c r="AF80" s="8">
        <v>523.52531307013396</v>
      </c>
      <c r="AG80" s="12">
        <v>0.18799633028562912</v>
      </c>
      <c r="AH80" s="12">
        <v>0.16741944825079605</v>
      </c>
      <c r="AI80" s="8">
        <v>1.4234598849913974E-13</v>
      </c>
      <c r="AJ80" s="8">
        <v>3.1316117469810747E-13</v>
      </c>
      <c r="AK80" s="8">
        <v>0</v>
      </c>
      <c r="AL80" s="8">
        <v>-3.1263880373444408E-13</v>
      </c>
      <c r="AM80" s="25">
        <v>1.0357631458247434</v>
      </c>
      <c r="AN80" s="25">
        <v>0.81847714273071293</v>
      </c>
      <c r="AO80" s="8">
        <v>482.18976612523994</v>
      </c>
      <c r="AP80" s="8">
        <v>234.76170100644845</v>
      </c>
      <c r="AQ80" s="8">
        <v>457.52410627781245</v>
      </c>
      <c r="AR80" s="8">
        <v>223.78922501624078</v>
      </c>
      <c r="AS80" s="8">
        <v>1698.6699054642572</v>
      </c>
      <c r="AT80" s="8">
        <v>-24.549932737853382</v>
      </c>
      <c r="AU80" s="8">
        <v>6643.6189541930125</v>
      </c>
      <c r="AV80" s="8">
        <v>3925.6346422238694</v>
      </c>
      <c r="AX80" s="8">
        <v>1174.5761646428753</v>
      </c>
      <c r="AY80" s="8">
        <v>549.00025214416348</v>
      </c>
      <c r="AZ80" s="8">
        <v>1723.5764167870389</v>
      </c>
      <c r="BA80" s="8">
        <v>248.80189560564708</v>
      </c>
      <c r="BB80" s="8">
        <v>160.68963187659935</v>
      </c>
      <c r="BC80" s="8">
        <v>409.4915274822464</v>
      </c>
      <c r="BD80" s="8">
        <v>0.17679764187883781</v>
      </c>
      <c r="BE80" s="8">
        <v>0.15534522558536357</v>
      </c>
      <c r="BF80" s="8">
        <v>4.2703796549741926E-14</v>
      </c>
      <c r="BG80" s="8">
        <v>4.6974176204716121E-13</v>
      </c>
      <c r="BH80" s="8">
        <v>0</v>
      </c>
      <c r="BI80" s="8">
        <v>4.6895820560166612E-13</v>
      </c>
      <c r="BJ80" s="8">
        <v>1.6039523124202022</v>
      </c>
      <c r="BK80" s="8">
        <v>1.3866663093261717</v>
      </c>
      <c r="BL80" s="8">
        <v>482.18976612523994</v>
      </c>
      <c r="BM80" s="8">
        <v>234.76170100644845</v>
      </c>
      <c r="BN80" s="8">
        <v>457.52410627781245</v>
      </c>
      <c r="BO80" s="8">
        <v>223.78922501624078</v>
      </c>
      <c r="BP80" s="8">
        <v>2172.9670851975288</v>
      </c>
      <c r="BQ80" s="8">
        <v>170.71946614436743</v>
      </c>
      <c r="BR80" s="8">
        <v>6643.6189541930125</v>
      </c>
      <c r="BS80" s="8">
        <v>3925.6346422238694</v>
      </c>
      <c r="BU80" s="8">
        <v>1211.3711987220943</v>
      </c>
      <c r="BV80" s="8">
        <v>570.38343373155965</v>
      </c>
      <c r="BW80" s="8">
        <v>1781.7546324536538</v>
      </c>
      <c r="BX80" s="8">
        <v>283.1739126355489</v>
      </c>
      <c r="BY80" s="8">
        <v>182.07281346399546</v>
      </c>
      <c r="BZ80" s="8">
        <v>465.24672609954439</v>
      </c>
      <c r="CA80" s="8">
        <v>0.18233604411606974</v>
      </c>
      <c r="CB80" s="8">
        <v>0.16139581509684994</v>
      </c>
      <c r="CC80" s="8">
        <v>2.9892657584819346E-13</v>
      </c>
      <c r="CD80" s="8">
        <v>2.4198818044853759E-13</v>
      </c>
      <c r="CE80" s="8">
        <v>2.9842794901924208E-13</v>
      </c>
      <c r="CF80" s="8">
        <v>-2.4158453015843406E-13</v>
      </c>
      <c r="CG80" s="8">
        <v>1.0936566808894406</v>
      </c>
      <c r="CH80" s="8">
        <v>0.87637067779541011</v>
      </c>
      <c r="CI80" s="8">
        <v>482.18976612523994</v>
      </c>
      <c r="CJ80" s="8">
        <v>234.76170100644845</v>
      </c>
      <c r="CK80" s="8">
        <v>457.52410627781245</v>
      </c>
      <c r="CL80" s="8">
        <v>223.78922501624078</v>
      </c>
      <c r="CM80" s="8">
        <v>1760.8116420826711</v>
      </c>
      <c r="CN80" s="8">
        <v>725.96570280784601</v>
      </c>
      <c r="CO80" s="8">
        <v>6643.6189541930125</v>
      </c>
      <c r="CP80" s="8">
        <v>3925.6346422238694</v>
      </c>
    </row>
    <row r="81" spans="1:94" x14ac:dyDescent="0.2">
      <c r="A81" s="6" t="str">
        <f t="shared" si="69"/>
        <v>3- Baseline Portfolio&amp;</v>
      </c>
      <c r="B81" s="6" t="str">
        <f>'Scenario List'!$A$5</f>
        <v>3- Baseline Portfolio</v>
      </c>
      <c r="D81" s="8">
        <v>1274.5374667110282</v>
      </c>
      <c r="E81" s="8">
        <v>599.86126264698737</v>
      </c>
      <c r="F81" s="8">
        <v>1874.3987293580155</v>
      </c>
      <c r="G81" s="8">
        <v>312.78605682694189</v>
      </c>
      <c r="H81" s="8">
        <v>196.46802254622594</v>
      </c>
      <c r="I81" s="8">
        <v>509.25407937316783</v>
      </c>
      <c r="J81" s="8">
        <v>0.189499548234346</v>
      </c>
      <c r="K81" s="8">
        <v>0.16763776407568681</v>
      </c>
      <c r="L81" s="8">
        <v>2.4198818044853759E-13</v>
      </c>
      <c r="M81" s="8">
        <v>2.7045737814836552E-13</v>
      </c>
      <c r="N81" s="8">
        <v>-2.4158453015843406E-13</v>
      </c>
      <c r="O81" s="8">
        <v>2.7000623958883807E-13</v>
      </c>
      <c r="P81" s="8">
        <v>1.5973119606848343</v>
      </c>
      <c r="Q81" s="8">
        <v>1.2045814427490249</v>
      </c>
      <c r="R81" s="8">
        <v>523.90602427057058</v>
      </c>
      <c r="S81" s="8">
        <v>258.2000067443829</v>
      </c>
      <c r="T81" s="8">
        <v>499.24625506526621</v>
      </c>
      <c r="U81" s="8">
        <v>247.24883718938347</v>
      </c>
      <c r="V81" s="8">
        <v>1837.1753447355618</v>
      </c>
      <c r="W81" s="8">
        <v>-23.350581020041727</v>
      </c>
      <c r="X81" s="8">
        <v>6725.8074153024472</v>
      </c>
      <c r="Y81" s="8">
        <v>3969.9415138161808</v>
      </c>
      <c r="AA81" s="8">
        <v>1316.2450682662407</v>
      </c>
      <c r="AB81" s="8">
        <v>625.11091895508457</v>
      </c>
      <c r="AC81" s="8">
        <v>1941.3559872213252</v>
      </c>
      <c r="AD81" s="8">
        <v>352.05379648870263</v>
      </c>
      <c r="AE81" s="8">
        <v>221.71767885432305</v>
      </c>
      <c r="AF81" s="8">
        <v>573.77147534302571</v>
      </c>
      <c r="AG81" s="12">
        <v>0.19570067755308326</v>
      </c>
      <c r="AH81" s="12">
        <v>0.17469405557297579</v>
      </c>
      <c r="AI81" s="8">
        <v>1.4234598849913974E-13</v>
      </c>
      <c r="AJ81" s="8">
        <v>2.1351898274870963E-13</v>
      </c>
      <c r="AK81" s="8">
        <v>0</v>
      </c>
      <c r="AL81" s="8">
        <v>2.1316282072803006E-13</v>
      </c>
      <c r="AM81" s="25">
        <v>1.2024482746496765</v>
      </c>
      <c r="AN81" s="25">
        <v>0.80971775671386725</v>
      </c>
      <c r="AO81" s="8">
        <v>523.90602427057058</v>
      </c>
      <c r="AP81" s="8">
        <v>258.2000067443829</v>
      </c>
      <c r="AQ81" s="8">
        <v>499.24625506526621</v>
      </c>
      <c r="AR81" s="8">
        <v>247.24883718938347</v>
      </c>
      <c r="AS81" s="8">
        <v>1477.633521713424</v>
      </c>
      <c r="AT81" s="8">
        <v>-155.2725969022863</v>
      </c>
      <c r="AU81" s="8">
        <v>6725.8074153024472</v>
      </c>
      <c r="AV81" s="8">
        <v>3969.9415138161808</v>
      </c>
      <c r="AX81" s="8">
        <v>1230.4158665110067</v>
      </c>
      <c r="AY81" s="8">
        <v>576.34074020644323</v>
      </c>
      <c r="AZ81" s="8">
        <v>1806.7566067174498</v>
      </c>
      <c r="BA81" s="8">
        <v>269.6980405284823</v>
      </c>
      <c r="BB81" s="8">
        <v>172.94750010568174</v>
      </c>
      <c r="BC81" s="8">
        <v>442.64554063416404</v>
      </c>
      <c r="BD81" s="8">
        <v>0.18293950310138002</v>
      </c>
      <c r="BE81" s="8">
        <v>0.16106469787296851</v>
      </c>
      <c r="BF81" s="8">
        <v>2.4910547987349457E-13</v>
      </c>
      <c r="BG81" s="8">
        <v>1.8504978504888167E-13</v>
      </c>
      <c r="BH81" s="8">
        <v>2.4868995751603507E-13</v>
      </c>
      <c r="BI81" s="8">
        <v>-1.8474111129762605E-13</v>
      </c>
      <c r="BJ81" s="8">
        <v>1.7980288889074871</v>
      </c>
      <c r="BK81" s="8">
        <v>1.405298370971678</v>
      </c>
      <c r="BL81" s="8">
        <v>523.90602427057058</v>
      </c>
      <c r="BM81" s="8">
        <v>258.2000067443829</v>
      </c>
      <c r="BN81" s="8">
        <v>499.24625506526621</v>
      </c>
      <c r="BO81" s="8">
        <v>247.24883718938347</v>
      </c>
      <c r="BP81" s="8">
        <v>2001.2955766955149</v>
      </c>
      <c r="BQ81" s="8">
        <v>40.79608434530563</v>
      </c>
      <c r="BR81" s="8">
        <v>6725.8074153024472</v>
      </c>
      <c r="BS81" s="8">
        <v>3969.9415138161808</v>
      </c>
      <c r="BU81" s="8">
        <v>1277.4248258483608</v>
      </c>
      <c r="BV81" s="8">
        <v>602.55629414789519</v>
      </c>
      <c r="BW81" s="8">
        <v>1879.981119996256</v>
      </c>
      <c r="BX81" s="8">
        <v>313.86405795574893</v>
      </c>
      <c r="BY81" s="8">
        <v>199.16305404713367</v>
      </c>
      <c r="BZ81" s="8">
        <v>513.02711200288263</v>
      </c>
      <c r="CA81" s="8">
        <v>0.18992884377598809</v>
      </c>
      <c r="CB81" s="8">
        <v>0.16839091998532521</v>
      </c>
      <c r="CC81" s="8">
        <v>6.6902614594595685E-13</v>
      </c>
      <c r="CD81" s="8">
        <v>6.6902614594595685E-13</v>
      </c>
      <c r="CE81" s="8">
        <v>6.6791017161449417E-13</v>
      </c>
      <c r="CF81" s="8">
        <v>-6.6791017161449417E-13</v>
      </c>
      <c r="CG81" s="8">
        <v>1.2567241250219912</v>
      </c>
      <c r="CH81" s="8">
        <v>0.86399360708618189</v>
      </c>
      <c r="CI81" s="8">
        <v>523.90602427057058</v>
      </c>
      <c r="CJ81" s="8">
        <v>258.2000067443829</v>
      </c>
      <c r="CK81" s="8">
        <v>499.24625506526621</v>
      </c>
      <c r="CL81" s="8">
        <v>247.24883718938347</v>
      </c>
      <c r="CM81" s="8">
        <v>2037.3585345042718</v>
      </c>
      <c r="CN81" s="8">
        <v>859.66900700077076</v>
      </c>
      <c r="CO81" s="8">
        <v>6725.8074153024472</v>
      </c>
      <c r="CP81" s="8">
        <v>3969.9415138161808</v>
      </c>
    </row>
    <row r="82" spans="1:94" x14ac:dyDescent="0.2">
      <c r="A82" s="6" t="str">
        <f t="shared" si="69"/>
        <v>3- Baseline Portfolio&amp;</v>
      </c>
      <c r="B82" s="6" t="str">
        <f>'Scenario List'!$A$5</f>
        <v>3- Baseline Portfolio</v>
      </c>
      <c r="D82" s="8">
        <v>1324.3873577992631</v>
      </c>
      <c r="E82" s="8">
        <v>626.30560014019011</v>
      </c>
      <c r="F82" s="8">
        <v>1950.6929579394532</v>
      </c>
      <c r="G82" s="8">
        <v>326.58715290484827</v>
      </c>
      <c r="H82" s="8">
        <v>207.35624122324228</v>
      </c>
      <c r="I82" s="8">
        <v>533.94339412809052</v>
      </c>
      <c r="J82" s="8">
        <v>0.19424963979919149</v>
      </c>
      <c r="K82" s="8">
        <v>0.17277572703540453</v>
      </c>
      <c r="L82" s="8">
        <v>1.1387679079931181E-13</v>
      </c>
      <c r="M82" s="8">
        <v>4.9821095974698914E-13</v>
      </c>
      <c r="N82" s="8">
        <v>-1.1368683772161603E-13</v>
      </c>
      <c r="O82" s="8">
        <v>4.9737991503207013E-13</v>
      </c>
      <c r="P82" s="8">
        <v>1.7600417008470401</v>
      </c>
      <c r="Q82" s="8">
        <v>1.3381392381591795</v>
      </c>
      <c r="R82" s="8">
        <v>560.56558361400369</v>
      </c>
      <c r="S82" s="8">
        <v>278.82949061804851</v>
      </c>
      <c r="T82" s="8">
        <v>535.97431434133034</v>
      </c>
      <c r="U82" s="8">
        <v>267.92547796329961</v>
      </c>
      <c r="V82" s="8">
        <v>1741.9581793544112</v>
      </c>
      <c r="W82" s="8">
        <v>-84.307387217401271</v>
      </c>
      <c r="X82" s="8">
        <v>6817.9655785635878</v>
      </c>
      <c r="Y82" s="8">
        <v>4017.9528484043276</v>
      </c>
      <c r="AA82" s="8">
        <v>1365.1366962867185</v>
      </c>
      <c r="AB82" s="8">
        <v>650.81595448780581</v>
      </c>
      <c r="AC82" s="8">
        <v>2015.9526507745243</v>
      </c>
      <c r="AD82" s="8">
        <v>364.5193433840663</v>
      </c>
      <c r="AE82" s="8">
        <v>231.86659557085804</v>
      </c>
      <c r="AF82" s="8">
        <v>596.38593895492431</v>
      </c>
      <c r="AG82" s="12">
        <v>0.20022639899779696</v>
      </c>
      <c r="AH82" s="12">
        <v>0.17953727330188654</v>
      </c>
      <c r="AI82" s="8">
        <v>9.9642191949397829E-13</v>
      </c>
      <c r="AJ82" s="8">
        <v>9.1101432639449448E-13</v>
      </c>
      <c r="AK82" s="8">
        <v>9.9475983006414026E-13</v>
      </c>
      <c r="AL82" s="8">
        <v>9.0949470177292824E-13</v>
      </c>
      <c r="AM82" s="25">
        <v>1.2990444035447943</v>
      </c>
      <c r="AN82" s="25">
        <v>0.87714194085693364</v>
      </c>
      <c r="AO82" s="8">
        <v>560.56558361400369</v>
      </c>
      <c r="AP82" s="8">
        <v>278.82949061804851</v>
      </c>
      <c r="AQ82" s="8">
        <v>535.97431434133034</v>
      </c>
      <c r="AR82" s="8">
        <v>267.92547796329961</v>
      </c>
      <c r="AS82" s="8">
        <v>1323.1798095733934</v>
      </c>
      <c r="AT82" s="8">
        <v>-249.0314880287572</v>
      </c>
      <c r="AU82" s="8">
        <v>6817.9655785635878</v>
      </c>
      <c r="AV82" s="8">
        <v>4017.9528484043276</v>
      </c>
      <c r="AX82" s="8">
        <v>1278.6063789815153</v>
      </c>
      <c r="AY82" s="8">
        <v>601.5901606995667</v>
      </c>
      <c r="AZ82" s="8">
        <v>1880.196539681082</v>
      </c>
      <c r="BA82" s="8">
        <v>281.85349399545305</v>
      </c>
      <c r="BB82" s="8">
        <v>182.64080178261892</v>
      </c>
      <c r="BC82" s="8">
        <v>464.494295778072</v>
      </c>
      <c r="BD82" s="8">
        <v>0.18753488327978515</v>
      </c>
      <c r="BE82" s="8">
        <v>0.16595760499179293</v>
      </c>
      <c r="BF82" s="8">
        <v>9.2524892524440835E-14</v>
      </c>
      <c r="BG82" s="8">
        <v>7.1172994249569872E-14</v>
      </c>
      <c r="BH82" s="8">
        <v>9.2370555648813024E-14</v>
      </c>
      <c r="BI82" s="8">
        <v>0</v>
      </c>
      <c r="BJ82" s="8">
        <v>1.9736078484300483</v>
      </c>
      <c r="BK82" s="8">
        <v>1.5517053857421876</v>
      </c>
      <c r="BL82" s="8">
        <v>560.56558361400369</v>
      </c>
      <c r="BM82" s="8">
        <v>278.82949061804851</v>
      </c>
      <c r="BN82" s="8">
        <v>535.97431434133034</v>
      </c>
      <c r="BO82" s="8">
        <v>267.92547796329961</v>
      </c>
      <c r="BP82" s="8">
        <v>1902.3876492643931</v>
      </c>
      <c r="BQ82" s="8">
        <v>-19.651932013305924</v>
      </c>
      <c r="BR82" s="8">
        <v>6817.9655785635878</v>
      </c>
      <c r="BS82" s="8">
        <v>4017.9528484043276</v>
      </c>
      <c r="BU82" s="8">
        <v>1329.6061912259088</v>
      </c>
      <c r="BV82" s="8">
        <v>629.51154047093632</v>
      </c>
      <c r="BW82" s="8">
        <v>1959.1177316968451</v>
      </c>
      <c r="BX82" s="8">
        <v>329.54619400694895</v>
      </c>
      <c r="BY82" s="8">
        <v>210.56218155398847</v>
      </c>
      <c r="BZ82" s="8">
        <v>540.10837556093747</v>
      </c>
      <c r="CA82" s="8">
        <v>0.195015092978224</v>
      </c>
      <c r="CB82" s="8">
        <v>0.17366013342000786</v>
      </c>
      <c r="CC82" s="8">
        <v>3.1316117469810747E-13</v>
      </c>
      <c r="CD82" s="8">
        <v>3.1316117469810747E-13</v>
      </c>
      <c r="CE82" s="8">
        <v>3.1263880373444408E-13</v>
      </c>
      <c r="CF82" s="8">
        <v>-3.1263880373444408E-13</v>
      </c>
      <c r="CG82" s="8">
        <v>1.3496794833787786</v>
      </c>
      <c r="CH82" s="8">
        <v>0.92777702069091794</v>
      </c>
      <c r="CI82" s="8">
        <v>560.56558361400369</v>
      </c>
      <c r="CJ82" s="8">
        <v>278.82949061804851</v>
      </c>
      <c r="CK82" s="8">
        <v>535.97431434133034</v>
      </c>
      <c r="CL82" s="8">
        <v>267.92547796329961</v>
      </c>
      <c r="CM82" s="8">
        <v>2292.8122342391903</v>
      </c>
      <c r="CN82" s="8">
        <v>989.17370032010933</v>
      </c>
      <c r="CO82" s="8">
        <v>6817.9655785635878</v>
      </c>
      <c r="CP82" s="8">
        <v>4017.9528484043276</v>
      </c>
    </row>
    <row r="83" spans="1:94" x14ac:dyDescent="0.2">
      <c r="A83" s="6" t="str">
        <f t="shared" si="69"/>
        <v>3- Baseline Portfolio&amp;</v>
      </c>
      <c r="B83" s="6" t="str">
        <f>'Scenario List'!$A$5</f>
        <v>3- Baseline Portfolio</v>
      </c>
      <c r="D83" s="8">
        <v>1405.2969721553816</v>
      </c>
      <c r="E83" s="8">
        <v>665.33071380191564</v>
      </c>
      <c r="F83" s="8">
        <v>2070.6276859572972</v>
      </c>
      <c r="G83" s="8">
        <v>368.21537898889795</v>
      </c>
      <c r="H83" s="8">
        <v>230.00418387603204</v>
      </c>
      <c r="I83" s="8">
        <v>598.21956286493003</v>
      </c>
      <c r="J83" s="8">
        <v>0.20333751448911008</v>
      </c>
      <c r="K83" s="8">
        <v>0.18086337449581935</v>
      </c>
      <c r="L83" s="8">
        <v>1.9928438389879564E-13</v>
      </c>
      <c r="M83" s="8">
        <v>5.1244555859690311E-13</v>
      </c>
      <c r="N83" s="8">
        <v>1.9895196601282805E-13</v>
      </c>
      <c r="O83" s="8">
        <v>-5.1159076974727213E-13</v>
      </c>
      <c r="P83" s="8">
        <v>2.090671210253074</v>
      </c>
      <c r="Q83" s="8">
        <v>1.187879052734375</v>
      </c>
      <c r="R83" s="8">
        <v>710.8381528968024</v>
      </c>
      <c r="S83" s="8">
        <v>342.64704152427754</v>
      </c>
      <c r="T83" s="8">
        <v>686.36932536400286</v>
      </c>
      <c r="U83" s="8">
        <v>331.8368613236035</v>
      </c>
      <c r="V83" s="8">
        <v>928.08693775316772</v>
      </c>
      <c r="W83" s="8">
        <v>-430.85300434690527</v>
      </c>
      <c r="X83" s="8">
        <v>6911.1544698784219</v>
      </c>
      <c r="Y83" s="8">
        <v>4070.4274226173325</v>
      </c>
      <c r="AA83" s="8">
        <v>1437.9829596963566</v>
      </c>
      <c r="AB83" s="8">
        <v>685.48443877084571</v>
      </c>
      <c r="AC83" s="8">
        <v>2123.4673984672022</v>
      </c>
      <c r="AD83" s="8">
        <v>398.24328292964913</v>
      </c>
      <c r="AE83" s="8">
        <v>250.15790884496212</v>
      </c>
      <c r="AF83" s="8">
        <v>648.40119177461122</v>
      </c>
      <c r="AG83" s="12">
        <v>0.2080669685453656</v>
      </c>
      <c r="AH83" s="12">
        <v>0.18634195925213135</v>
      </c>
      <c r="AI83" s="8">
        <v>6.2632234939621495E-13</v>
      </c>
      <c r="AJ83" s="8">
        <v>1.8504978504888167E-13</v>
      </c>
      <c r="AK83" s="8">
        <v>6.2527760746888816E-13</v>
      </c>
      <c r="AL83" s="8">
        <v>-1.8474111129762605E-13</v>
      </c>
      <c r="AM83" s="25">
        <v>1.7019302068961406</v>
      </c>
      <c r="AN83" s="25">
        <v>0.79913804937744148</v>
      </c>
      <c r="AO83" s="8">
        <v>710.8381528968024</v>
      </c>
      <c r="AP83" s="8">
        <v>342.64704152427754</v>
      </c>
      <c r="AQ83" s="8">
        <v>686.36932536400286</v>
      </c>
      <c r="AR83" s="8">
        <v>331.8368613236035</v>
      </c>
      <c r="AS83" s="8">
        <v>473.62378834168709</v>
      </c>
      <c r="AT83" s="8">
        <v>-616.88714015722485</v>
      </c>
      <c r="AU83" s="8">
        <v>6911.1544698784219</v>
      </c>
      <c r="AV83" s="8">
        <v>4070.4274226173325</v>
      </c>
      <c r="AX83" s="8">
        <v>1365.1870579391143</v>
      </c>
      <c r="AY83" s="8">
        <v>643.77977687050384</v>
      </c>
      <c r="AZ83" s="8">
        <v>2008.9668348096181</v>
      </c>
      <c r="BA83" s="8">
        <v>329.20921245634025</v>
      </c>
      <c r="BB83" s="8">
        <v>208.45324694462019</v>
      </c>
      <c r="BC83" s="8">
        <v>537.66245940096042</v>
      </c>
      <c r="BD83" s="8">
        <v>0.19753386556314811</v>
      </c>
      <c r="BE83" s="8">
        <v>0.17500497190579228</v>
      </c>
      <c r="BF83" s="8">
        <v>1.4946328792409673E-13</v>
      </c>
      <c r="BG83" s="8">
        <v>4.2703796549741926E-14</v>
      </c>
      <c r="BH83" s="8">
        <v>1.4921397450962104E-13</v>
      </c>
      <c r="BI83" s="8">
        <v>0</v>
      </c>
      <c r="BJ83" s="8">
        <v>2.2665564958976052</v>
      </c>
      <c r="BK83" s="8">
        <v>1.3637643383789062</v>
      </c>
      <c r="BL83" s="8">
        <v>710.8381528968024</v>
      </c>
      <c r="BM83" s="8">
        <v>342.64704152427754</v>
      </c>
      <c r="BN83" s="8">
        <v>686.36932536400286</v>
      </c>
      <c r="BO83" s="8">
        <v>331.8368613236035</v>
      </c>
      <c r="BP83" s="8">
        <v>1119.9811093451563</v>
      </c>
      <c r="BQ83" s="8">
        <v>-351.30999886201437</v>
      </c>
      <c r="BR83" s="8">
        <v>6911.1544698784219</v>
      </c>
      <c r="BS83" s="8">
        <v>4070.4274226173325</v>
      </c>
      <c r="BU83" s="8">
        <v>1412.3752177176252</v>
      </c>
      <c r="BV83" s="8">
        <v>668.31700753134635</v>
      </c>
      <c r="BW83" s="8">
        <v>2080.6922252489717</v>
      </c>
      <c r="BX83" s="8">
        <v>372.74066860289577</v>
      </c>
      <c r="BY83" s="8">
        <v>232.99047760546279</v>
      </c>
      <c r="BZ83" s="8">
        <v>605.7311462083585</v>
      </c>
      <c r="CA83" s="8">
        <v>0.20436169150513447</v>
      </c>
      <c r="CB83" s="8">
        <v>0.18167516801434516</v>
      </c>
      <c r="CC83" s="8">
        <v>1.708151861989677E-13</v>
      </c>
      <c r="CD83" s="8">
        <v>7.1172994249569875E-13</v>
      </c>
      <c r="CE83" s="8">
        <v>0</v>
      </c>
      <c r="CF83" s="8">
        <v>-7.1054273576010019E-13</v>
      </c>
      <c r="CG83" s="8">
        <v>1.680230542223289</v>
      </c>
      <c r="CH83" s="8">
        <v>0.77743838470458981</v>
      </c>
      <c r="CI83" s="8">
        <v>710.8381528968024</v>
      </c>
      <c r="CJ83" s="8">
        <v>342.64704152427754</v>
      </c>
      <c r="CK83" s="8">
        <v>686.36932536400286</v>
      </c>
      <c r="CL83" s="8">
        <v>331.8368613236035</v>
      </c>
      <c r="CM83" s="8">
        <v>3146.5323849693968</v>
      </c>
      <c r="CN83" s="8">
        <v>1348.9969717313149</v>
      </c>
      <c r="CO83" s="8">
        <v>6911.1544698784219</v>
      </c>
      <c r="CP83" s="8">
        <v>4070.4274226173325</v>
      </c>
    </row>
    <row r="84" spans="1:94" x14ac:dyDescent="0.2">
      <c r="A84" s="6" t="str">
        <f t="shared" si="69"/>
        <v>3- Baseline Portfolio&amp;</v>
      </c>
      <c r="B84" s="6" t="str">
        <f>'Scenario List'!$A$5</f>
        <v>3- Baseline Portfolio</v>
      </c>
      <c r="D84" s="16">
        <f>NPV($B$1,D61:D83)</f>
        <v>10069.198228276662</v>
      </c>
      <c r="E84" s="16">
        <f t="shared" ref="E84" si="70">NPV($B$1,E61:E83)</f>
        <v>4780.170559903996</v>
      </c>
      <c r="F84" s="16">
        <f t="shared" ref="F84" si="71">NPV($B$1,F61:F83)</f>
        <v>14849.36878818066</v>
      </c>
      <c r="G84" s="16">
        <f t="shared" ref="G84" si="72">NPV($B$1,G61:G83)</f>
        <v>2782.8973937711939</v>
      </c>
      <c r="H84" s="16">
        <f t="shared" ref="H84" si="73">NPV($B$1,H61:H83)</f>
        <v>1649.8790622123818</v>
      </c>
      <c r="I84" s="16">
        <f t="shared" ref="I84" si="74">NPV($B$1,I61:I83)</f>
        <v>4432.7764559835759</v>
      </c>
      <c r="J84" s="17"/>
      <c r="K84" s="17"/>
      <c r="L84" s="16">
        <f t="shared" ref="L84" si="75">NPV($B$1,L61:L83)</f>
        <v>4.9636846111667888E-12</v>
      </c>
      <c r="M84" s="16">
        <f t="shared" ref="M84" si="76">NPV($B$1,M61:M83)</f>
        <v>4.7495036855943758E-12</v>
      </c>
      <c r="N84" s="16">
        <f t="shared" ref="N84" si="77">NPV($B$1,N61:N83)</f>
        <v>-1.1346441082450737E-12</v>
      </c>
      <c r="O84" s="16">
        <f t="shared" ref="O84" si="78">NPV($B$1,O61:O83)</f>
        <v>2.7058640099749725E-14</v>
      </c>
      <c r="P84" s="52">
        <f t="shared" ref="P84" si="79">NPV($B$1,P61:P83)</f>
        <v>19.757121088838861</v>
      </c>
      <c r="Q84" s="52">
        <f t="shared" ref="Q84" si="80">NPV($B$1,Q61:Q83)</f>
        <v>19.914841512843456</v>
      </c>
      <c r="AA84" s="16">
        <f>NPV($B$1,AA61:AA83)</f>
        <v>10247.08260546776</v>
      </c>
      <c r="AB84" s="16">
        <f t="shared" ref="AB84" si="81">NPV($B$1,AB61:AB83)</f>
        <v>4907.9167782962795</v>
      </c>
      <c r="AC84" s="16">
        <f t="shared" ref="AC84" si="82">NPV($B$1,AC61:AC83)</f>
        <v>15154.999383764038</v>
      </c>
      <c r="AD84" s="16">
        <f t="shared" ref="AD84" si="83">NPV($B$1,AD61:AD83)</f>
        <v>2958.3240852691351</v>
      </c>
      <c r="AE84" s="16">
        <f t="shared" ref="AE84" si="84">NPV($B$1,AE61:AE83)</f>
        <v>1777.6252806046659</v>
      </c>
      <c r="AF84" s="16">
        <f t="shared" ref="AF84" si="85">NPV($B$1,AF61:AF83)</f>
        <v>4735.949365873802</v>
      </c>
      <c r="AG84" s="17"/>
      <c r="AH84" s="17"/>
      <c r="AI84" s="16">
        <f t="shared" ref="AI84" si="86">NPV($B$1,AI61:AI83)</f>
        <v>3.9850877378235858E-12</v>
      </c>
      <c r="AJ84" s="16">
        <f t="shared" ref="AJ84" si="87">NPV($B$1,AJ61:AJ83)</f>
        <v>5.0892545462703845E-12</v>
      </c>
      <c r="AK84" s="16">
        <f t="shared" ref="AK84" si="88">NPV($B$1,AK61:AK83)</f>
        <v>9.8674266657413817E-13</v>
      </c>
      <c r="AL84" s="16">
        <f t="shared" ref="AL84" si="89">NPV($B$1,AL61:AL83)</f>
        <v>1.0458337171436434E-12</v>
      </c>
      <c r="AM84" s="52">
        <f t="shared" ref="AM84" si="90">NPV($B$1,AM61:AM83)</f>
        <v>18.108220467239363</v>
      </c>
      <c r="AN84" s="52">
        <f t="shared" ref="AN84" si="91">NPV($B$1,AN61:AN83)</f>
        <v>18.265940891243957</v>
      </c>
      <c r="AX84" s="16">
        <f>NPV($B$1,AX61:AX83)</f>
        <v>9768.7342717526462</v>
      </c>
      <c r="AY84" s="16">
        <f t="shared" ref="AY84" si="92">NPV($B$1,AY61:AY83)</f>
        <v>4606.3252702838581</v>
      </c>
      <c r="AZ84" s="16">
        <f t="shared" ref="AZ84" si="93">NPV($B$1,AZ61:AZ83)</f>
        <v>14375.059542036503</v>
      </c>
      <c r="BA84" s="16">
        <f t="shared" ref="BA84" si="94">NPV($B$1,BA61:BA83)</f>
        <v>2481.528091750306</v>
      </c>
      <c r="BB84" s="16">
        <f t="shared" ref="BB84" si="95">NPV($B$1,BB61:BB83)</f>
        <v>1476.0337725922443</v>
      </c>
      <c r="BC84" s="16">
        <f t="shared" ref="BC84" si="96">NPV($B$1,BC61:BC83)</f>
        <v>3957.5618643425514</v>
      </c>
      <c r="BD84" s="17"/>
      <c r="BE84" s="17"/>
      <c r="BF84" s="16">
        <f t="shared" ref="BF84" si="97">NPV($B$1,BF61:BF83)</f>
        <v>4.70768923774386E-12</v>
      </c>
      <c r="BG84" s="16">
        <f t="shared" ref="BG84" si="98">NPV($B$1,BG61:BG83)</f>
        <v>3.5177242729254966E-12</v>
      </c>
      <c r="BH84" s="16">
        <f t="shared" ref="BH84" si="99">NPV($B$1,BH61:BH83)</f>
        <v>-1.5897767357629898E-12</v>
      </c>
      <c r="BI84" s="16">
        <f t="shared" ref="BI84" si="100">NPV($B$1,BI61:BI83)</f>
        <v>-4.6583879695733898E-14</v>
      </c>
      <c r="BJ84" s="52">
        <f t="shared" ref="BJ84" si="101">NPV($B$1,BJ61:BJ83)</f>
        <v>20.748904788749407</v>
      </c>
      <c r="BK84" s="52">
        <f t="shared" ref="BK84" si="102">NPV($B$1,BK61:BK83)</f>
        <v>20.906625212753994</v>
      </c>
      <c r="BU84" s="16">
        <f>NPV($B$1,BU61:BU83)</f>
        <v>10060.643352608193</v>
      </c>
      <c r="BV84" s="16">
        <f t="shared" ref="BV84" si="103">NPV($B$1,BV61:BV83)</f>
        <v>4780.1426075159507</v>
      </c>
      <c r="BW84" s="16">
        <f t="shared" ref="BW84" si="104">NPV($B$1,BW61:BW83)</f>
        <v>14840.785960124145</v>
      </c>
      <c r="BX84" s="16">
        <f t="shared" ref="BX84" si="105">NPV($B$1,BX61:BX83)</f>
        <v>2775.5581615619849</v>
      </c>
      <c r="BY84" s="16">
        <f t="shared" ref="BY84" si="106">NPV($B$1,BY61:BY83)</f>
        <v>1649.8511098243375</v>
      </c>
      <c r="BZ84" s="16">
        <f t="shared" ref="BZ84" si="107">NPV($B$1,BZ61:BZ83)</f>
        <v>4425.409271386322</v>
      </c>
      <c r="CA84" s="17"/>
      <c r="CB84" s="17"/>
      <c r="CC84" s="16">
        <f t="shared" ref="CC84" si="108">NPV($B$1,CC61:CC83)</f>
        <v>3.7765849475400974E-12</v>
      </c>
      <c r="CD84" s="16">
        <f t="shared" ref="CD84" si="109">NPV($B$1,CD61:CD83)</f>
        <v>5.4926911898896092E-12</v>
      </c>
      <c r="CE84" s="16">
        <f t="shared" ref="CE84" si="110">NPV($B$1,CE61:CE83)</f>
        <v>-8.4136588931446846E-13</v>
      </c>
      <c r="CF84" s="16">
        <f t="shared" ref="CF84" si="111">NPV($B$1,CF61:CF83)</f>
        <v>-2.6904914796366424E-12</v>
      </c>
      <c r="CG84" s="52">
        <f t="shared" ref="CG84" si="112">NPV($B$1,CG61:CG83)</f>
        <v>18.421376276631815</v>
      </c>
      <c r="CH84" s="52">
        <f t="shared" ref="CH84" si="113">NPV($B$1,CH61:CH83)</f>
        <v>18.579096700636413</v>
      </c>
    </row>
    <row r="85" spans="1:94" x14ac:dyDescent="0.2">
      <c r="A85" s="6" t="str">
        <f t="shared" si="69"/>
        <v>3- Baseline Portfolio&amp;</v>
      </c>
      <c r="B85" s="6" t="str">
        <f>'Scenario List'!$A$5</f>
        <v>3- Baseline Portfolio</v>
      </c>
      <c r="D85" s="16">
        <f>-PMT($B$1,COUNT(D61:D83),D84)</f>
        <v>856.23585813203567</v>
      </c>
      <c r="E85" s="16">
        <f t="shared" ref="E85" si="114">-PMT($B$1,COUNT(E61:E83),E84)</f>
        <v>406.48255686166965</v>
      </c>
      <c r="F85" s="16">
        <f t="shared" ref="F85" si="115">-PMT($B$1,COUNT(F61:F83),F84)</f>
        <v>1262.7184149937057</v>
      </c>
      <c r="G85" s="16">
        <f t="shared" ref="G85" si="116">-PMT($B$1,COUNT(G61:G83),G84)</f>
        <v>236.64411843214867</v>
      </c>
      <c r="H85" s="16">
        <f t="shared" ref="H85" si="117">-PMT($B$1,COUNT(H61:H83),H84)</f>
        <v>140.29772605730869</v>
      </c>
      <c r="I85" s="16">
        <f t="shared" ref="I85" si="118">-PMT($B$1,COUNT(I61:I83),I84)</f>
        <v>376.94184448945737</v>
      </c>
      <c r="J85" s="17"/>
      <c r="K85" s="17"/>
      <c r="L85" s="16">
        <f t="shared" ref="L85" si="119">-PMT($B$1,COUNT(L61:L83),L84)</f>
        <v>4.2208770313051784E-13</v>
      </c>
      <c r="M85" s="16">
        <f t="shared" ref="M85" si="120">-PMT($B$1,COUNT(M61:M83),M84)</f>
        <v>4.0387479437200232E-13</v>
      </c>
      <c r="N85" s="16">
        <f t="shared" ref="N85" si="121">-PMT($B$1,COUNT(N61:N83),N84)</f>
        <v>-9.6484640551560053E-14</v>
      </c>
      <c r="O85" s="16">
        <f t="shared" ref="O85" si="122">-PMT($B$1,COUNT(O61:O83),O84)</f>
        <v>2.3009357250145634E-15</v>
      </c>
      <c r="P85" s="52">
        <f t="shared" ref="P85" si="123">-PMT($B$1,COUNT(P61:P83),P84)</f>
        <v>1.6800499052858329</v>
      </c>
      <c r="Q85" s="52">
        <f t="shared" ref="Q85" si="124">-PMT($B$1,COUNT(Q61:Q83),Q84)</f>
        <v>1.6934616863959995</v>
      </c>
      <c r="AA85" s="16">
        <f>-PMT($B$1,COUNT(AA61:AA83),AA84)</f>
        <v>871.36228417902498</v>
      </c>
      <c r="AB85" s="16">
        <f t="shared" ref="AB85" si="125">-PMT($B$1,COUNT(AB61:AB83),AB84)</f>
        <v>417.34547667400108</v>
      </c>
      <c r="AC85" s="16">
        <f t="shared" ref="AC85" si="126">-PMT($B$1,COUNT(AC61:AC83),AC84)</f>
        <v>1288.707760853026</v>
      </c>
      <c r="AD85" s="16">
        <f t="shared" ref="AD85" si="127">-PMT($B$1,COUNT(AD61:AD83),AD84)</f>
        <v>251.56155478891719</v>
      </c>
      <c r="AE85" s="16">
        <f t="shared" ref="AE85" si="128">-PMT($B$1,COUNT(AE61:AE83),AE84)</f>
        <v>151.16064586964021</v>
      </c>
      <c r="AF85" s="16">
        <f t="shared" ref="AF85" si="129">-PMT($B$1,COUNT(AF61:AF83),AF84)</f>
        <v>402.72220065855748</v>
      </c>
      <c r="AG85" s="17"/>
      <c r="AH85" s="17"/>
      <c r="AI85" s="16">
        <f t="shared" ref="AI85" si="130">-PMT($B$1,COUNT(AI61:AI83),AI84)</f>
        <v>3.3887256379009865E-13</v>
      </c>
      <c r="AJ85" s="16">
        <f t="shared" ref="AJ85" si="131">-PMT($B$1,COUNT(AJ61:AJ83),AJ84)</f>
        <v>4.3276556235043833E-13</v>
      </c>
      <c r="AK85" s="16">
        <f t="shared" ref="AK85" si="132">-PMT($B$1,COUNT(AK61:AK83),AK84)</f>
        <v>8.390781815149567E-14</v>
      </c>
      <c r="AL85" s="16">
        <f t="shared" ref="AL85" si="133">-PMT($B$1,COUNT(AL61:AL83),AL84)</f>
        <v>8.8932634948747573E-14</v>
      </c>
      <c r="AM85" s="52">
        <f t="shared" ref="AM85" si="134">-PMT($B$1,COUNT(AM61:AM83),AM84)</f>
        <v>1.5398353810802319</v>
      </c>
      <c r="AN85" s="52">
        <f t="shared" ref="AN85" si="135">-PMT($B$1,COUNT(AN61:AN83),AN84)</f>
        <v>1.5532471621903983</v>
      </c>
      <c r="AX85" s="16">
        <f>-PMT($B$1,COUNT(AX61:AX83),AX84)</f>
        <v>830.68585823933142</v>
      </c>
      <c r="AY85" s="16">
        <f t="shared" ref="AY85" si="136">-PMT($B$1,COUNT(AY61:AY83),AY84)</f>
        <v>391.69959526279104</v>
      </c>
      <c r="AZ85" s="16">
        <f t="shared" ref="AZ85" si="137">-PMT($B$1,COUNT(AZ61:AZ83),AZ84)</f>
        <v>1222.3854535021223</v>
      </c>
      <c r="BA85" s="16">
        <f t="shared" ref="BA85" si="138">-PMT($B$1,COUNT(BA61:BA83),BA84)</f>
        <v>211.01713234244571</v>
      </c>
      <c r="BB85" s="16">
        <f t="shared" ref="BB85" si="139">-PMT($B$1,COUNT(BB61:BB83),BB84)</f>
        <v>125.51476445843005</v>
      </c>
      <c r="BC85" s="16">
        <f t="shared" ref="BC85" si="140">-PMT($B$1,COUNT(BC61:BC83),BC84)</f>
        <v>336.53189680087587</v>
      </c>
      <c r="BD85" s="17"/>
      <c r="BE85" s="17"/>
      <c r="BF85" s="16">
        <f t="shared" ref="BF85" si="141">-PMT($B$1,COUNT(BF61:BF83),BF84)</f>
        <v>4.0031909620955474E-13</v>
      </c>
      <c r="BG85" s="16">
        <f t="shared" ref="BG85" si="142">-PMT($B$1,COUNT(BG61:BG83),BG84)</f>
        <v>2.9913023790135046E-13</v>
      </c>
      <c r="BH85" s="16">
        <f t="shared" ref="BH85" si="143">-PMT($B$1,COUNT(BH61:BH83),BH84)</f>
        <v>-1.3518691525624508E-13</v>
      </c>
      <c r="BI85" s="16">
        <f t="shared" ref="BI85" si="144">-PMT($B$1,COUNT(BI61:BI83),BI84)</f>
        <v>-3.9612675510136257E-15</v>
      </c>
      <c r="BJ85" s="52">
        <f t="shared" ref="BJ85" si="145">-PMT($B$1,COUNT(BJ61:BJ83),BJ84)</f>
        <v>1.7643863885014992</v>
      </c>
      <c r="BK85" s="52">
        <f t="shared" ref="BK85" si="146">-PMT($B$1,COUNT(BK61:BK83),BK84)</f>
        <v>1.7777981696116651</v>
      </c>
      <c r="BU85" s="16">
        <f>-PMT($B$1,COUNT(BU61:BU83),BU84)</f>
        <v>855.50839293141678</v>
      </c>
      <c r="BV85" s="16">
        <f t="shared" ref="BV85" si="147">-PMT($B$1,COUNT(BV61:BV83),BV84)</f>
        <v>406.48017992594725</v>
      </c>
      <c r="BW85" s="16">
        <f t="shared" ref="BW85" si="148">-PMT($B$1,COUNT(BW61:BW83),BW84)</f>
        <v>1261.9885728573643</v>
      </c>
      <c r="BX85" s="16">
        <f t="shared" ref="BX85" si="149">-PMT($B$1,COUNT(BX61:BX83),BX84)</f>
        <v>236.02002566465947</v>
      </c>
      <c r="BY85" s="16">
        <f t="shared" ref="BY85" si="150">-PMT($B$1,COUNT(BY61:BY83),BY84)</f>
        <v>140.29534912158636</v>
      </c>
      <c r="BZ85" s="16">
        <f t="shared" ref="BZ85" si="151">-PMT($B$1,COUNT(BZ61:BZ83),BZ84)</f>
        <v>376.3153747862458</v>
      </c>
      <c r="CA85" s="17"/>
      <c r="CB85" s="17"/>
      <c r="CC85" s="16">
        <f t="shared" ref="CC85" si="152">-PMT($B$1,COUNT(CC61:CC83),CC84)</f>
        <v>3.2114249616068603E-13</v>
      </c>
      <c r="CD85" s="16">
        <f t="shared" ref="CD85" si="153">-PMT($B$1,COUNT(CD61:CD83),CD84)</f>
        <v>4.6707186091760209E-13</v>
      </c>
      <c r="CE85" s="16">
        <f t="shared" ref="CE85" si="154">-PMT($B$1,COUNT(CE61:CE83),CE84)</f>
        <v>-7.1545680987501499E-14</v>
      </c>
      <c r="CF85" s="16">
        <f t="shared" ref="CF85" si="155">-PMT($B$1,COUNT(CF61:CF83),CF84)</f>
        <v>-2.2878636696160139E-13</v>
      </c>
      <c r="CG85" s="52">
        <f t="shared" ref="CG85" si="156">-PMT($B$1,COUNT(CG61:CG83),CG84)</f>
        <v>1.5664646346816946</v>
      </c>
      <c r="CH85" s="52">
        <f t="shared" ref="CH85" si="157">-PMT($B$1,COUNT(CH61:CH83),CH84)</f>
        <v>1.5798764157918612</v>
      </c>
    </row>
    <row r="86" spans="1:94" x14ac:dyDescent="0.2">
      <c r="A86" s="6" t="str">
        <f t="shared" si="69"/>
        <v>&amp;</v>
      </c>
    </row>
    <row r="87" spans="1:94" x14ac:dyDescent="0.2">
      <c r="A87" s="6" t="str">
        <f t="shared" si="69"/>
        <v>&amp;</v>
      </c>
    </row>
    <row r="88" spans="1:94" x14ac:dyDescent="0.2">
      <c r="A88" s="6" t="str">
        <f t="shared" si="69"/>
        <v>&amp;</v>
      </c>
    </row>
    <row r="89" spans="1:94" x14ac:dyDescent="0.2">
      <c r="A89" s="6" t="str">
        <f t="shared" si="69"/>
        <v>&amp;</v>
      </c>
    </row>
    <row r="90" spans="1:94" x14ac:dyDescent="0.2">
      <c r="A90" s="6" t="str">
        <f t="shared" si="69"/>
        <v>&amp;</v>
      </c>
    </row>
    <row r="91" spans="1:94" x14ac:dyDescent="0.2">
      <c r="A91" s="6" t="str">
        <f t="shared" si="69"/>
        <v>4- No Resource Additions&amp;</v>
      </c>
      <c r="B91" s="6" t="str">
        <f>'Scenario List'!$A$6</f>
        <v>4- No Resource Additions</v>
      </c>
    </row>
    <row r="92" spans="1:94" x14ac:dyDescent="0.2">
      <c r="A92" s="6" t="str">
        <f t="shared" si="69"/>
        <v>4- No Resource Additions&amp;</v>
      </c>
      <c r="B92" s="6" t="str">
        <f>'Scenario List'!$A$6</f>
        <v>4- No Resource Additions</v>
      </c>
    </row>
    <row r="93" spans="1:94" x14ac:dyDescent="0.2">
      <c r="A93" s="6" t="str">
        <f t="shared" si="69"/>
        <v>4- No Resource Additions&amp;</v>
      </c>
      <c r="B93" s="6" t="str">
        <f>'Scenario List'!$A$6</f>
        <v>4- No Resource Additions</v>
      </c>
    </row>
    <row r="94" spans="1:94" x14ac:dyDescent="0.2">
      <c r="A94" s="6" t="str">
        <f t="shared" si="69"/>
        <v>4- No Resource Additions&amp;</v>
      </c>
      <c r="B94" s="6" t="str">
        <f>'Scenario List'!$A$6</f>
        <v>4- No Resource Additions</v>
      </c>
    </row>
    <row r="95" spans="1:94" x14ac:dyDescent="0.2">
      <c r="A95" s="6" t="str">
        <f t="shared" si="69"/>
        <v>4- No Resource Additions&amp;</v>
      </c>
      <c r="B95" s="6" t="str">
        <f>'Scenario List'!$A$6</f>
        <v>4- No Resource Additions</v>
      </c>
    </row>
    <row r="96" spans="1:94" x14ac:dyDescent="0.2">
      <c r="A96" s="6" t="str">
        <f t="shared" si="69"/>
        <v>4- No Resource Additions&amp;</v>
      </c>
      <c r="B96" s="6" t="str">
        <f>'Scenario List'!$A$6</f>
        <v>4- No Resource Additions</v>
      </c>
    </row>
    <row r="97" spans="1:2" x14ac:dyDescent="0.2">
      <c r="A97" s="6" t="str">
        <f t="shared" si="69"/>
        <v>4- No Resource Additions&amp;</v>
      </c>
      <c r="B97" s="6" t="str">
        <f>'Scenario List'!$A$6</f>
        <v>4- No Resource Additions</v>
      </c>
    </row>
    <row r="98" spans="1:2" x14ac:dyDescent="0.2">
      <c r="A98" s="6" t="str">
        <f t="shared" si="69"/>
        <v>4- No Resource Additions&amp;</v>
      </c>
      <c r="B98" s="6" t="str">
        <f>'Scenario List'!$A$6</f>
        <v>4- No Resource Additions</v>
      </c>
    </row>
    <row r="99" spans="1:2" x14ac:dyDescent="0.2">
      <c r="A99" s="6" t="str">
        <f t="shared" si="69"/>
        <v>4- No Resource Additions&amp;</v>
      </c>
      <c r="B99" s="6" t="str">
        <f>'Scenario List'!$A$6</f>
        <v>4- No Resource Additions</v>
      </c>
    </row>
    <row r="100" spans="1:2" x14ac:dyDescent="0.2">
      <c r="A100" s="6" t="str">
        <f t="shared" si="69"/>
        <v>4- No Resource Additions&amp;</v>
      </c>
      <c r="B100" s="6" t="str">
        <f>'Scenario List'!$A$6</f>
        <v>4- No Resource Additions</v>
      </c>
    </row>
    <row r="101" spans="1:2" x14ac:dyDescent="0.2">
      <c r="A101" s="6" t="str">
        <f t="shared" si="69"/>
        <v>4- No Resource Additions&amp;</v>
      </c>
      <c r="B101" s="6" t="str">
        <f>'Scenario List'!$A$6</f>
        <v>4- No Resource Additions</v>
      </c>
    </row>
    <row r="102" spans="1:2" x14ac:dyDescent="0.2">
      <c r="A102" s="6" t="str">
        <f t="shared" si="69"/>
        <v>4- No Resource Additions&amp;</v>
      </c>
      <c r="B102" s="6" t="str">
        <f>'Scenario List'!$A$6</f>
        <v>4- No Resource Additions</v>
      </c>
    </row>
    <row r="103" spans="1:2" x14ac:dyDescent="0.2">
      <c r="A103" s="6" t="str">
        <f t="shared" si="69"/>
        <v>4- No Resource Additions&amp;</v>
      </c>
      <c r="B103" s="6" t="str">
        <f>'Scenario List'!$A$6</f>
        <v>4- No Resource Additions</v>
      </c>
    </row>
    <row r="104" spans="1:2" x14ac:dyDescent="0.2">
      <c r="A104" s="6" t="str">
        <f t="shared" si="69"/>
        <v>4- No Resource Additions&amp;</v>
      </c>
      <c r="B104" s="6" t="str">
        <f>'Scenario List'!$A$6</f>
        <v>4- No Resource Additions</v>
      </c>
    </row>
    <row r="105" spans="1:2" x14ac:dyDescent="0.2">
      <c r="A105" s="6" t="str">
        <f t="shared" si="69"/>
        <v>4- No Resource Additions&amp;</v>
      </c>
      <c r="B105" s="6" t="str">
        <f>'Scenario List'!$A$6</f>
        <v>4- No Resource Additions</v>
      </c>
    </row>
    <row r="106" spans="1:2" x14ac:dyDescent="0.2">
      <c r="A106" s="6" t="str">
        <f t="shared" si="69"/>
        <v>4- No Resource Additions&amp;</v>
      </c>
      <c r="B106" s="6" t="str">
        <f>'Scenario List'!$A$6</f>
        <v>4- No Resource Additions</v>
      </c>
    </row>
    <row r="107" spans="1:2" x14ac:dyDescent="0.2">
      <c r="A107" s="6" t="str">
        <f t="shared" si="69"/>
        <v>4- No Resource Additions&amp;</v>
      </c>
      <c r="B107" s="6" t="str">
        <f>'Scenario List'!$A$6</f>
        <v>4- No Resource Additions</v>
      </c>
    </row>
    <row r="108" spans="1:2" x14ac:dyDescent="0.2">
      <c r="A108" s="6" t="str">
        <f t="shared" si="69"/>
        <v>4- No Resource Additions&amp;</v>
      </c>
      <c r="B108" s="6" t="str">
        <f>'Scenario List'!$A$6</f>
        <v>4- No Resource Additions</v>
      </c>
    </row>
    <row r="109" spans="1:2" x14ac:dyDescent="0.2">
      <c r="A109" s="6" t="str">
        <f t="shared" si="69"/>
        <v>4- No Resource Additions&amp;</v>
      </c>
      <c r="B109" s="6" t="str">
        <f>'Scenario List'!$A$6</f>
        <v>4- No Resource Additions</v>
      </c>
    </row>
    <row r="110" spans="1:2" x14ac:dyDescent="0.2">
      <c r="A110" s="6" t="str">
        <f t="shared" si="69"/>
        <v>4- No Resource Additions&amp;</v>
      </c>
      <c r="B110" s="6" t="str">
        <f>'Scenario List'!$A$6</f>
        <v>4- No Resource Additions</v>
      </c>
    </row>
    <row r="111" spans="1:2" x14ac:dyDescent="0.2">
      <c r="A111" s="6" t="str">
        <f t="shared" si="69"/>
        <v>4- No Resource Additions&amp;</v>
      </c>
      <c r="B111" s="6" t="str">
        <f>'Scenario List'!$A$6</f>
        <v>4- No Resource Additions</v>
      </c>
    </row>
    <row r="112" spans="1:2" x14ac:dyDescent="0.2">
      <c r="A112" s="6" t="str">
        <f t="shared" si="69"/>
        <v>4- No Resource Additions&amp;</v>
      </c>
      <c r="B112" s="6" t="str">
        <f>'Scenario List'!$A$6</f>
        <v>4- No Resource Additions</v>
      </c>
    </row>
    <row r="113" spans="1:2" x14ac:dyDescent="0.2">
      <c r="A113" s="6" t="str">
        <f t="shared" si="69"/>
        <v>4- No Resource Additions&amp;</v>
      </c>
      <c r="B113" s="6" t="str">
        <f>'Scenario List'!$A$6</f>
        <v>4- No Resource Additions</v>
      </c>
    </row>
    <row r="114" spans="1:2" x14ac:dyDescent="0.2">
      <c r="A114" s="6" t="str">
        <f t="shared" si="69"/>
        <v>4- No Resource Additions&amp;</v>
      </c>
      <c r="B114" s="6" t="str">
        <f>'Scenario List'!$A$6</f>
        <v>4- No Resource Additions</v>
      </c>
    </row>
    <row r="115" spans="1:2" x14ac:dyDescent="0.2">
      <c r="A115" s="6" t="str">
        <f t="shared" si="69"/>
        <v>4- No Resource Additions&amp;</v>
      </c>
      <c r="B115" s="6" t="str">
        <f>'Scenario List'!$A$6</f>
        <v>4- No Resource Additions</v>
      </c>
    </row>
    <row r="116" spans="1:2" x14ac:dyDescent="0.2">
      <c r="A116" s="6" t="str">
        <f t="shared" si="69"/>
        <v>&amp;</v>
      </c>
    </row>
    <row r="117" spans="1:2" x14ac:dyDescent="0.2">
      <c r="A117" s="6" t="str">
        <f t="shared" si="69"/>
        <v>&amp;</v>
      </c>
    </row>
    <row r="118" spans="1:2" x14ac:dyDescent="0.2">
      <c r="A118" s="6" t="str">
        <f t="shared" si="69"/>
        <v>5- No CETA/ No new NG&amp;</v>
      </c>
      <c r="B118" s="6" t="str">
        <f>'Scenario List'!$A$7</f>
        <v>5- No CETA/ No new NG</v>
      </c>
    </row>
    <row r="119" spans="1:2" x14ac:dyDescent="0.2">
      <c r="A119" s="6" t="str">
        <f t="shared" si="69"/>
        <v>5- No CETA/ No new NG&amp;</v>
      </c>
      <c r="B119" s="6" t="str">
        <f>'Scenario List'!$A$7</f>
        <v>5- No CETA/ No new NG</v>
      </c>
    </row>
    <row r="120" spans="1:2" x14ac:dyDescent="0.2">
      <c r="A120" s="6" t="str">
        <f t="shared" si="69"/>
        <v>5- No CETA/ No new NG&amp;</v>
      </c>
      <c r="B120" s="6" t="str">
        <f>'Scenario List'!$A$7</f>
        <v>5- No CETA/ No new NG</v>
      </c>
    </row>
    <row r="121" spans="1:2" x14ac:dyDescent="0.2">
      <c r="A121" s="6" t="str">
        <f t="shared" si="69"/>
        <v>5- No CETA/ No new NG&amp;</v>
      </c>
      <c r="B121" s="6" t="str">
        <f>'Scenario List'!$A$7</f>
        <v>5- No CETA/ No new NG</v>
      </c>
    </row>
    <row r="122" spans="1:2" x14ac:dyDescent="0.2">
      <c r="A122" s="6" t="str">
        <f t="shared" si="69"/>
        <v>5- No CETA/ No new NG&amp;</v>
      </c>
      <c r="B122" s="6" t="str">
        <f>'Scenario List'!$A$7</f>
        <v>5- No CETA/ No new NG</v>
      </c>
    </row>
    <row r="123" spans="1:2" x14ac:dyDescent="0.2">
      <c r="A123" s="6" t="str">
        <f t="shared" si="69"/>
        <v>5- No CETA/ No new NG&amp;</v>
      </c>
      <c r="B123" s="6" t="str">
        <f>'Scenario List'!$A$7</f>
        <v>5- No CETA/ No new NG</v>
      </c>
    </row>
    <row r="124" spans="1:2" x14ac:dyDescent="0.2">
      <c r="A124" s="6" t="str">
        <f t="shared" si="69"/>
        <v>5- No CETA/ No new NG&amp;</v>
      </c>
      <c r="B124" s="6" t="str">
        <f>'Scenario List'!$A$7</f>
        <v>5- No CETA/ No new NG</v>
      </c>
    </row>
    <row r="125" spans="1:2" x14ac:dyDescent="0.2">
      <c r="A125" s="6" t="str">
        <f t="shared" si="69"/>
        <v>5- No CETA/ No new NG&amp;</v>
      </c>
      <c r="B125" s="6" t="str">
        <f>'Scenario List'!$A$7</f>
        <v>5- No CETA/ No new NG</v>
      </c>
    </row>
    <row r="126" spans="1:2" x14ac:dyDescent="0.2">
      <c r="A126" s="6" t="str">
        <f t="shared" si="69"/>
        <v>5- No CETA/ No new NG&amp;</v>
      </c>
      <c r="B126" s="6" t="str">
        <f>'Scenario List'!$A$7</f>
        <v>5- No CETA/ No new NG</v>
      </c>
    </row>
    <row r="127" spans="1:2" x14ac:dyDescent="0.2">
      <c r="A127" s="6" t="str">
        <f t="shared" si="69"/>
        <v>5- No CETA/ No new NG&amp;</v>
      </c>
      <c r="B127" s="6" t="str">
        <f>'Scenario List'!$A$7</f>
        <v>5- No CETA/ No new NG</v>
      </c>
    </row>
    <row r="128" spans="1:2" x14ac:dyDescent="0.2">
      <c r="A128" s="6" t="str">
        <f t="shared" si="69"/>
        <v>5- No CETA/ No new NG&amp;</v>
      </c>
      <c r="B128" s="6" t="str">
        <f>'Scenario List'!$A$7</f>
        <v>5- No CETA/ No new NG</v>
      </c>
    </row>
    <row r="129" spans="1:2" x14ac:dyDescent="0.2">
      <c r="A129" s="6" t="str">
        <f t="shared" si="69"/>
        <v>5- No CETA/ No new NG&amp;</v>
      </c>
      <c r="B129" s="6" t="str">
        <f>'Scenario List'!$A$7</f>
        <v>5- No CETA/ No new NG</v>
      </c>
    </row>
    <row r="130" spans="1:2" x14ac:dyDescent="0.2">
      <c r="A130" s="6" t="str">
        <f t="shared" si="69"/>
        <v>5- No CETA/ No new NG&amp;</v>
      </c>
      <c r="B130" s="6" t="str">
        <f>'Scenario List'!$A$7</f>
        <v>5- No CETA/ No new NG</v>
      </c>
    </row>
    <row r="131" spans="1:2" x14ac:dyDescent="0.2">
      <c r="A131" s="6" t="str">
        <f t="shared" si="69"/>
        <v>5- No CETA/ No new NG&amp;</v>
      </c>
      <c r="B131" s="6" t="str">
        <f>'Scenario List'!$A$7</f>
        <v>5- No CETA/ No new NG</v>
      </c>
    </row>
    <row r="132" spans="1:2" x14ac:dyDescent="0.2">
      <c r="A132" s="6" t="str">
        <f t="shared" si="69"/>
        <v>5- No CETA/ No new NG&amp;</v>
      </c>
      <c r="B132" s="6" t="str">
        <f>'Scenario List'!$A$7</f>
        <v>5- No CETA/ No new NG</v>
      </c>
    </row>
    <row r="133" spans="1:2" x14ac:dyDescent="0.2">
      <c r="A133" s="6" t="str">
        <f t="shared" ref="A133:A196" si="158">B133&amp;"&amp;"&amp;C133</f>
        <v>5- No CETA/ No new NG&amp;</v>
      </c>
      <c r="B133" s="6" t="str">
        <f>'Scenario List'!$A$7</f>
        <v>5- No CETA/ No new NG</v>
      </c>
    </row>
    <row r="134" spans="1:2" x14ac:dyDescent="0.2">
      <c r="A134" s="6" t="str">
        <f t="shared" si="158"/>
        <v>5- No CETA/ No new NG&amp;</v>
      </c>
      <c r="B134" s="6" t="str">
        <f>'Scenario List'!$A$7</f>
        <v>5- No CETA/ No new NG</v>
      </c>
    </row>
    <row r="135" spans="1:2" x14ac:dyDescent="0.2">
      <c r="A135" s="6" t="str">
        <f t="shared" si="158"/>
        <v>5- No CETA/ No new NG&amp;</v>
      </c>
      <c r="B135" s="6" t="str">
        <f>'Scenario List'!$A$7</f>
        <v>5- No CETA/ No new NG</v>
      </c>
    </row>
    <row r="136" spans="1:2" x14ac:dyDescent="0.2">
      <c r="A136" s="6" t="str">
        <f t="shared" si="158"/>
        <v>5- No CETA/ No new NG&amp;</v>
      </c>
      <c r="B136" s="6" t="str">
        <f>'Scenario List'!$A$7</f>
        <v>5- No CETA/ No new NG</v>
      </c>
    </row>
    <row r="137" spans="1:2" x14ac:dyDescent="0.2">
      <c r="A137" s="6" t="str">
        <f t="shared" si="158"/>
        <v>5- No CETA/ No new NG&amp;</v>
      </c>
      <c r="B137" s="6" t="str">
        <f>'Scenario List'!$A$7</f>
        <v>5- No CETA/ No new NG</v>
      </c>
    </row>
    <row r="138" spans="1:2" x14ac:dyDescent="0.2">
      <c r="A138" s="6" t="str">
        <f t="shared" si="158"/>
        <v>5- No CETA/ No new NG&amp;</v>
      </c>
      <c r="B138" s="6" t="str">
        <f>'Scenario List'!$A$7</f>
        <v>5- No CETA/ No new NG</v>
      </c>
    </row>
    <row r="139" spans="1:2" x14ac:dyDescent="0.2">
      <c r="A139" s="6" t="str">
        <f t="shared" si="158"/>
        <v>5- No CETA/ No new NG&amp;</v>
      </c>
      <c r="B139" s="6" t="str">
        <f>'Scenario List'!$A$7</f>
        <v>5- No CETA/ No new NG</v>
      </c>
    </row>
    <row r="140" spans="1:2" x14ac:dyDescent="0.2">
      <c r="A140" s="6" t="str">
        <f t="shared" si="158"/>
        <v>5- No CETA/ No new NG&amp;</v>
      </c>
      <c r="B140" s="6" t="str">
        <f>'Scenario List'!$A$7</f>
        <v>5- No CETA/ No new NG</v>
      </c>
    </row>
    <row r="141" spans="1:2" x14ac:dyDescent="0.2">
      <c r="A141" s="6" t="str">
        <f t="shared" si="158"/>
        <v>&amp;</v>
      </c>
    </row>
    <row r="142" spans="1:2" x14ac:dyDescent="0.2">
      <c r="A142" s="6" t="str">
        <f t="shared" si="158"/>
        <v>&amp;</v>
      </c>
    </row>
    <row r="143" spans="1:2" x14ac:dyDescent="0.2">
      <c r="A143" s="6" t="str">
        <f t="shared" si="158"/>
        <v>&amp;</v>
      </c>
    </row>
    <row r="144" spans="1:2" x14ac:dyDescent="0.2">
      <c r="A144" s="6" t="str">
        <f t="shared" si="158"/>
        <v>&amp;</v>
      </c>
    </row>
    <row r="145" spans="1:2" x14ac:dyDescent="0.2">
      <c r="A145" s="6" t="str">
        <f t="shared" si="158"/>
        <v>6- WRAP PRM&amp;</v>
      </c>
      <c r="B145" s="6" t="str">
        <f>'Scenario List'!$A$8</f>
        <v>6- WRAP PRM</v>
      </c>
    </row>
    <row r="146" spans="1:2" x14ac:dyDescent="0.2">
      <c r="A146" s="6" t="str">
        <f t="shared" si="158"/>
        <v>6- WRAP PRM&amp;</v>
      </c>
      <c r="B146" s="6" t="str">
        <f>'Scenario List'!$A$8</f>
        <v>6- WRAP PRM</v>
      </c>
    </row>
    <row r="147" spans="1:2" x14ac:dyDescent="0.2">
      <c r="A147" s="6" t="str">
        <f t="shared" si="158"/>
        <v>6- WRAP PRM&amp;</v>
      </c>
      <c r="B147" s="6" t="str">
        <f>'Scenario List'!$A$8</f>
        <v>6- WRAP PRM</v>
      </c>
    </row>
    <row r="148" spans="1:2" x14ac:dyDescent="0.2">
      <c r="A148" s="6" t="str">
        <f t="shared" si="158"/>
        <v>6- WRAP PRM&amp;</v>
      </c>
      <c r="B148" s="6" t="str">
        <f>'Scenario List'!$A$8</f>
        <v>6- WRAP PRM</v>
      </c>
    </row>
    <row r="149" spans="1:2" x14ac:dyDescent="0.2">
      <c r="A149" s="6" t="str">
        <f t="shared" si="158"/>
        <v>6- WRAP PRM&amp;</v>
      </c>
      <c r="B149" s="6" t="str">
        <f>'Scenario List'!$A$8</f>
        <v>6- WRAP PRM</v>
      </c>
    </row>
    <row r="150" spans="1:2" x14ac:dyDescent="0.2">
      <c r="A150" s="6" t="str">
        <f t="shared" si="158"/>
        <v>6- WRAP PRM&amp;</v>
      </c>
      <c r="B150" s="6" t="str">
        <f>'Scenario List'!$A$8</f>
        <v>6- WRAP PRM</v>
      </c>
    </row>
    <row r="151" spans="1:2" x14ac:dyDescent="0.2">
      <c r="A151" s="6" t="str">
        <f t="shared" si="158"/>
        <v>6- WRAP PRM&amp;</v>
      </c>
      <c r="B151" s="6" t="str">
        <f>'Scenario List'!$A$8</f>
        <v>6- WRAP PRM</v>
      </c>
    </row>
    <row r="152" spans="1:2" x14ac:dyDescent="0.2">
      <c r="A152" s="6" t="str">
        <f t="shared" si="158"/>
        <v>6- WRAP PRM&amp;</v>
      </c>
      <c r="B152" s="6" t="str">
        <f>'Scenario List'!$A$8</f>
        <v>6- WRAP PRM</v>
      </c>
    </row>
    <row r="153" spans="1:2" x14ac:dyDescent="0.2">
      <c r="A153" s="6" t="str">
        <f t="shared" si="158"/>
        <v>6- WRAP PRM&amp;</v>
      </c>
      <c r="B153" s="6" t="str">
        <f>'Scenario List'!$A$8</f>
        <v>6- WRAP PRM</v>
      </c>
    </row>
    <row r="154" spans="1:2" x14ac:dyDescent="0.2">
      <c r="A154" s="6" t="str">
        <f t="shared" si="158"/>
        <v>6- WRAP PRM&amp;</v>
      </c>
      <c r="B154" s="6" t="str">
        <f>'Scenario List'!$A$8</f>
        <v>6- WRAP PRM</v>
      </c>
    </row>
    <row r="155" spans="1:2" x14ac:dyDescent="0.2">
      <c r="A155" s="6" t="str">
        <f t="shared" si="158"/>
        <v>6- WRAP PRM&amp;</v>
      </c>
      <c r="B155" s="6" t="str">
        <f>'Scenario List'!$A$8</f>
        <v>6- WRAP PRM</v>
      </c>
    </row>
    <row r="156" spans="1:2" x14ac:dyDescent="0.2">
      <c r="A156" s="6" t="str">
        <f t="shared" si="158"/>
        <v>6- WRAP PRM&amp;</v>
      </c>
      <c r="B156" s="6" t="str">
        <f>'Scenario List'!$A$8</f>
        <v>6- WRAP PRM</v>
      </c>
    </row>
    <row r="157" spans="1:2" x14ac:dyDescent="0.2">
      <c r="A157" s="6" t="str">
        <f t="shared" si="158"/>
        <v>6- WRAP PRM&amp;</v>
      </c>
      <c r="B157" s="6" t="str">
        <f>'Scenario List'!$A$8</f>
        <v>6- WRAP PRM</v>
      </c>
    </row>
    <row r="158" spans="1:2" x14ac:dyDescent="0.2">
      <c r="A158" s="6" t="str">
        <f t="shared" si="158"/>
        <v>6- WRAP PRM&amp;</v>
      </c>
      <c r="B158" s="6" t="str">
        <f>'Scenario List'!$A$8</f>
        <v>6- WRAP PRM</v>
      </c>
    </row>
    <row r="159" spans="1:2" x14ac:dyDescent="0.2">
      <c r="A159" s="6" t="str">
        <f t="shared" si="158"/>
        <v>6- WRAP PRM&amp;</v>
      </c>
      <c r="B159" s="6" t="str">
        <f>'Scenario List'!$A$8</f>
        <v>6- WRAP PRM</v>
      </c>
    </row>
    <row r="160" spans="1:2" x14ac:dyDescent="0.2">
      <c r="A160" s="6" t="str">
        <f t="shared" si="158"/>
        <v>6- WRAP PRM&amp;</v>
      </c>
      <c r="B160" s="6" t="str">
        <f>'Scenario List'!$A$8</f>
        <v>6- WRAP PRM</v>
      </c>
    </row>
    <row r="161" spans="1:2" x14ac:dyDescent="0.2">
      <c r="A161" s="6" t="str">
        <f t="shared" si="158"/>
        <v>6- WRAP PRM&amp;</v>
      </c>
      <c r="B161" s="6" t="str">
        <f>'Scenario List'!$A$8</f>
        <v>6- WRAP PRM</v>
      </c>
    </row>
    <row r="162" spans="1:2" x14ac:dyDescent="0.2">
      <c r="A162" s="6" t="str">
        <f t="shared" si="158"/>
        <v>6- WRAP PRM&amp;</v>
      </c>
      <c r="B162" s="6" t="str">
        <f>'Scenario List'!$A$8</f>
        <v>6- WRAP PRM</v>
      </c>
    </row>
    <row r="163" spans="1:2" x14ac:dyDescent="0.2">
      <c r="A163" s="6" t="str">
        <f t="shared" si="158"/>
        <v>6- WRAP PRM&amp;</v>
      </c>
      <c r="B163" s="6" t="str">
        <f>'Scenario List'!$A$8</f>
        <v>6- WRAP PRM</v>
      </c>
    </row>
    <row r="164" spans="1:2" x14ac:dyDescent="0.2">
      <c r="A164" s="6" t="str">
        <f t="shared" si="158"/>
        <v>6- WRAP PRM&amp;</v>
      </c>
      <c r="B164" s="6" t="str">
        <f>'Scenario List'!$A$8</f>
        <v>6- WRAP PRM</v>
      </c>
    </row>
    <row r="165" spans="1:2" x14ac:dyDescent="0.2">
      <c r="A165" s="6" t="str">
        <f t="shared" si="158"/>
        <v>6- WRAP PRM&amp;</v>
      </c>
      <c r="B165" s="6" t="str">
        <f>'Scenario List'!$A$8</f>
        <v>6- WRAP PRM</v>
      </c>
    </row>
    <row r="166" spans="1:2" x14ac:dyDescent="0.2">
      <c r="A166" s="6" t="str">
        <f t="shared" si="158"/>
        <v>6- WRAP PRM&amp;</v>
      </c>
      <c r="B166" s="6" t="str">
        <f>'Scenario List'!$A$8</f>
        <v>6- WRAP PRM</v>
      </c>
    </row>
    <row r="167" spans="1:2" x14ac:dyDescent="0.2">
      <c r="A167" s="6" t="str">
        <f t="shared" si="158"/>
        <v>6- WRAP PRM&amp;</v>
      </c>
      <c r="B167" s="6" t="str">
        <f>'Scenario List'!$A$8</f>
        <v>6- WRAP PRM</v>
      </c>
    </row>
    <row r="168" spans="1:2" x14ac:dyDescent="0.2">
      <c r="A168" s="6" t="str">
        <f t="shared" si="158"/>
        <v>6- WRAP PRM&amp;</v>
      </c>
      <c r="B168" s="6" t="str">
        <f>'Scenario List'!$A$8</f>
        <v>6- WRAP PRM</v>
      </c>
    </row>
    <row r="169" spans="1:2" x14ac:dyDescent="0.2">
      <c r="A169" s="6" t="str">
        <f t="shared" si="158"/>
        <v>6- WRAP PRM&amp;</v>
      </c>
      <c r="B169" s="6" t="str">
        <f>'Scenario List'!$A$8</f>
        <v>6- WRAP PRM</v>
      </c>
    </row>
    <row r="170" spans="1:2" x14ac:dyDescent="0.2">
      <c r="A170" s="6" t="str">
        <f t="shared" si="158"/>
        <v>&amp;</v>
      </c>
    </row>
    <row r="171" spans="1:2" x14ac:dyDescent="0.2">
      <c r="A171" s="6" t="str">
        <f t="shared" si="158"/>
        <v>&amp;</v>
      </c>
    </row>
    <row r="172" spans="1:2" x14ac:dyDescent="0.2">
      <c r="A172" s="6" t="str">
        <f t="shared" si="158"/>
        <v>7- WRAP PRM No QCC Changes&amp;</v>
      </c>
      <c r="B172" s="6" t="str">
        <f>'Scenario List'!$A$9</f>
        <v>7- WRAP PRM No QCC Changes</v>
      </c>
    </row>
    <row r="173" spans="1:2" x14ac:dyDescent="0.2">
      <c r="A173" s="6" t="str">
        <f t="shared" si="158"/>
        <v>7- WRAP PRM No QCC Changes&amp;</v>
      </c>
      <c r="B173" s="6" t="str">
        <f>'Scenario List'!$A$9</f>
        <v>7- WRAP PRM No QCC Changes</v>
      </c>
    </row>
    <row r="174" spans="1:2" x14ac:dyDescent="0.2">
      <c r="A174" s="6" t="str">
        <f t="shared" si="158"/>
        <v>7- WRAP PRM No QCC Changes&amp;</v>
      </c>
      <c r="B174" s="6" t="str">
        <f>'Scenario List'!$A$9</f>
        <v>7- WRAP PRM No QCC Changes</v>
      </c>
    </row>
    <row r="175" spans="1:2" x14ac:dyDescent="0.2">
      <c r="A175" s="6" t="str">
        <f t="shared" si="158"/>
        <v>7- WRAP PRM No QCC Changes&amp;</v>
      </c>
      <c r="B175" s="6" t="str">
        <f>'Scenario List'!$A$9</f>
        <v>7- WRAP PRM No QCC Changes</v>
      </c>
    </row>
    <row r="176" spans="1:2" x14ac:dyDescent="0.2">
      <c r="A176" s="6" t="str">
        <f t="shared" si="158"/>
        <v>7- WRAP PRM No QCC Changes&amp;</v>
      </c>
      <c r="B176" s="6" t="str">
        <f>'Scenario List'!$A$9</f>
        <v>7- WRAP PRM No QCC Changes</v>
      </c>
    </row>
    <row r="177" spans="1:2" x14ac:dyDescent="0.2">
      <c r="A177" s="6" t="str">
        <f t="shared" si="158"/>
        <v>7- WRAP PRM No QCC Changes&amp;</v>
      </c>
      <c r="B177" s="6" t="str">
        <f>'Scenario List'!$A$9</f>
        <v>7- WRAP PRM No QCC Changes</v>
      </c>
    </row>
    <row r="178" spans="1:2" x14ac:dyDescent="0.2">
      <c r="A178" s="6" t="str">
        <f t="shared" si="158"/>
        <v>7- WRAP PRM No QCC Changes&amp;</v>
      </c>
      <c r="B178" s="6" t="str">
        <f>'Scenario List'!$A$9</f>
        <v>7- WRAP PRM No QCC Changes</v>
      </c>
    </row>
    <row r="179" spans="1:2" x14ac:dyDescent="0.2">
      <c r="A179" s="6" t="str">
        <f t="shared" si="158"/>
        <v>7- WRAP PRM No QCC Changes&amp;</v>
      </c>
      <c r="B179" s="6" t="str">
        <f>'Scenario List'!$A$9</f>
        <v>7- WRAP PRM No QCC Changes</v>
      </c>
    </row>
    <row r="180" spans="1:2" x14ac:dyDescent="0.2">
      <c r="A180" s="6" t="str">
        <f t="shared" si="158"/>
        <v>7- WRAP PRM No QCC Changes&amp;</v>
      </c>
      <c r="B180" s="6" t="str">
        <f>'Scenario List'!$A$9</f>
        <v>7- WRAP PRM No QCC Changes</v>
      </c>
    </row>
    <row r="181" spans="1:2" x14ac:dyDescent="0.2">
      <c r="A181" s="6" t="str">
        <f t="shared" si="158"/>
        <v>7- WRAP PRM No QCC Changes&amp;</v>
      </c>
      <c r="B181" s="6" t="str">
        <f>'Scenario List'!$A$9</f>
        <v>7- WRAP PRM No QCC Changes</v>
      </c>
    </row>
    <row r="182" spans="1:2" x14ac:dyDescent="0.2">
      <c r="A182" s="6" t="str">
        <f t="shared" si="158"/>
        <v>7- WRAP PRM No QCC Changes&amp;</v>
      </c>
      <c r="B182" s="6" t="str">
        <f>'Scenario List'!$A$9</f>
        <v>7- WRAP PRM No QCC Changes</v>
      </c>
    </row>
    <row r="183" spans="1:2" x14ac:dyDescent="0.2">
      <c r="A183" s="6" t="str">
        <f t="shared" si="158"/>
        <v>7- WRAP PRM No QCC Changes&amp;</v>
      </c>
      <c r="B183" s="6" t="str">
        <f>'Scenario List'!$A$9</f>
        <v>7- WRAP PRM No QCC Changes</v>
      </c>
    </row>
    <row r="184" spans="1:2" x14ac:dyDescent="0.2">
      <c r="A184" s="6" t="str">
        <f t="shared" si="158"/>
        <v>7- WRAP PRM No QCC Changes&amp;</v>
      </c>
      <c r="B184" s="6" t="str">
        <f>'Scenario List'!$A$9</f>
        <v>7- WRAP PRM No QCC Changes</v>
      </c>
    </row>
    <row r="185" spans="1:2" x14ac:dyDescent="0.2">
      <c r="A185" s="6" t="str">
        <f t="shared" si="158"/>
        <v>7- WRAP PRM No QCC Changes&amp;</v>
      </c>
      <c r="B185" s="6" t="str">
        <f>'Scenario List'!$A$9</f>
        <v>7- WRAP PRM No QCC Changes</v>
      </c>
    </row>
    <row r="186" spans="1:2" x14ac:dyDescent="0.2">
      <c r="A186" s="6" t="str">
        <f t="shared" si="158"/>
        <v>7- WRAP PRM No QCC Changes&amp;</v>
      </c>
      <c r="B186" s="6" t="str">
        <f>'Scenario List'!$A$9</f>
        <v>7- WRAP PRM No QCC Changes</v>
      </c>
    </row>
    <row r="187" spans="1:2" x14ac:dyDescent="0.2">
      <c r="A187" s="6" t="str">
        <f t="shared" si="158"/>
        <v>7- WRAP PRM No QCC Changes&amp;</v>
      </c>
      <c r="B187" s="6" t="str">
        <f>'Scenario List'!$A$9</f>
        <v>7- WRAP PRM No QCC Changes</v>
      </c>
    </row>
    <row r="188" spans="1:2" x14ac:dyDescent="0.2">
      <c r="A188" s="6" t="str">
        <f t="shared" si="158"/>
        <v>7- WRAP PRM No QCC Changes&amp;</v>
      </c>
      <c r="B188" s="6" t="str">
        <f>'Scenario List'!$A$9</f>
        <v>7- WRAP PRM No QCC Changes</v>
      </c>
    </row>
    <row r="189" spans="1:2" x14ac:dyDescent="0.2">
      <c r="A189" s="6" t="str">
        <f t="shared" si="158"/>
        <v>7- WRAP PRM No QCC Changes&amp;</v>
      </c>
      <c r="B189" s="6" t="str">
        <f>'Scenario List'!$A$9</f>
        <v>7- WRAP PRM No QCC Changes</v>
      </c>
    </row>
    <row r="190" spans="1:2" x14ac:dyDescent="0.2">
      <c r="A190" s="6" t="str">
        <f t="shared" si="158"/>
        <v>7- WRAP PRM No QCC Changes&amp;</v>
      </c>
      <c r="B190" s="6" t="str">
        <f>'Scenario List'!$A$9</f>
        <v>7- WRAP PRM No QCC Changes</v>
      </c>
    </row>
    <row r="191" spans="1:2" x14ac:dyDescent="0.2">
      <c r="A191" s="6" t="str">
        <f t="shared" si="158"/>
        <v>7- WRAP PRM No QCC Changes&amp;</v>
      </c>
      <c r="B191" s="6" t="str">
        <f>'Scenario List'!$A$9</f>
        <v>7- WRAP PRM No QCC Changes</v>
      </c>
    </row>
    <row r="192" spans="1:2" x14ac:dyDescent="0.2">
      <c r="A192" s="6" t="str">
        <f t="shared" si="158"/>
        <v>7- WRAP PRM No QCC Changes&amp;</v>
      </c>
      <c r="B192" s="6" t="str">
        <f>'Scenario List'!$A$9</f>
        <v>7- WRAP PRM No QCC Changes</v>
      </c>
    </row>
    <row r="193" spans="1:2" x14ac:dyDescent="0.2">
      <c r="A193" s="6" t="str">
        <f t="shared" si="158"/>
        <v>7- WRAP PRM No QCC Changes&amp;</v>
      </c>
      <c r="B193" s="6" t="str">
        <f>'Scenario List'!$A$9</f>
        <v>7- WRAP PRM No QCC Changes</v>
      </c>
    </row>
    <row r="194" spans="1:2" x14ac:dyDescent="0.2">
      <c r="A194" s="6" t="str">
        <f t="shared" si="158"/>
        <v>7- WRAP PRM No QCC Changes&amp;</v>
      </c>
      <c r="B194" s="6" t="str">
        <f>'Scenario List'!$A$9</f>
        <v>7- WRAP PRM No QCC Changes</v>
      </c>
    </row>
    <row r="195" spans="1:2" x14ac:dyDescent="0.2">
      <c r="A195" s="6" t="str">
        <f t="shared" si="158"/>
        <v>7- WRAP PRM No QCC Changes&amp;</v>
      </c>
      <c r="B195" s="6" t="str">
        <f>'Scenario List'!$A$9</f>
        <v>7- WRAP PRM No QCC Changes</v>
      </c>
    </row>
    <row r="196" spans="1:2" x14ac:dyDescent="0.2">
      <c r="A196" s="6" t="str">
        <f t="shared" si="158"/>
        <v>7- WRAP PRM No QCC Changes&amp;</v>
      </c>
      <c r="B196" s="6" t="str">
        <f>'Scenario List'!$A$9</f>
        <v>7- WRAP PRM No QCC Changes</v>
      </c>
    </row>
    <row r="197" spans="1:2" x14ac:dyDescent="0.2">
      <c r="A197" s="6" t="str">
        <f t="shared" ref="A197:A260" si="159">B197&amp;"&amp;"&amp;C197</f>
        <v>&amp;</v>
      </c>
    </row>
    <row r="198" spans="1:2" x14ac:dyDescent="0.2">
      <c r="A198" s="6" t="str">
        <f t="shared" si="159"/>
        <v>&amp;</v>
      </c>
    </row>
    <row r="199" spans="1:2" x14ac:dyDescent="0.2">
      <c r="A199" s="6" t="str">
        <f t="shared" si="159"/>
        <v>8- VERs Assigned to Washington&amp;</v>
      </c>
      <c r="B199" s="6" t="str">
        <f>'Scenario List'!$A$10</f>
        <v>8- VERs Assigned to Washington</v>
      </c>
    </row>
    <row r="200" spans="1:2" x14ac:dyDescent="0.2">
      <c r="A200" s="6" t="str">
        <f t="shared" si="159"/>
        <v>8- VERs Assigned to Washington&amp;</v>
      </c>
      <c r="B200" s="6" t="str">
        <f>'Scenario List'!$A$10</f>
        <v>8- VERs Assigned to Washington</v>
      </c>
    </row>
    <row r="201" spans="1:2" x14ac:dyDescent="0.2">
      <c r="A201" s="6" t="str">
        <f t="shared" si="159"/>
        <v>8- VERs Assigned to Washington&amp;</v>
      </c>
      <c r="B201" s="6" t="str">
        <f>'Scenario List'!$A$10</f>
        <v>8- VERs Assigned to Washington</v>
      </c>
    </row>
    <row r="202" spans="1:2" x14ac:dyDescent="0.2">
      <c r="A202" s="6" t="str">
        <f t="shared" si="159"/>
        <v>8- VERs Assigned to Washington&amp;</v>
      </c>
      <c r="B202" s="6" t="str">
        <f>'Scenario List'!$A$10</f>
        <v>8- VERs Assigned to Washington</v>
      </c>
    </row>
    <row r="203" spans="1:2" x14ac:dyDescent="0.2">
      <c r="A203" s="6" t="str">
        <f t="shared" si="159"/>
        <v>8- VERs Assigned to Washington&amp;</v>
      </c>
      <c r="B203" s="6" t="str">
        <f>'Scenario List'!$A$10</f>
        <v>8- VERs Assigned to Washington</v>
      </c>
    </row>
    <row r="204" spans="1:2" x14ac:dyDescent="0.2">
      <c r="A204" s="6" t="str">
        <f t="shared" si="159"/>
        <v>8- VERs Assigned to Washington&amp;</v>
      </c>
      <c r="B204" s="6" t="str">
        <f>'Scenario List'!$A$10</f>
        <v>8- VERs Assigned to Washington</v>
      </c>
    </row>
    <row r="205" spans="1:2" x14ac:dyDescent="0.2">
      <c r="A205" s="6" t="str">
        <f t="shared" si="159"/>
        <v>8- VERs Assigned to Washington&amp;</v>
      </c>
      <c r="B205" s="6" t="str">
        <f>'Scenario List'!$A$10</f>
        <v>8- VERs Assigned to Washington</v>
      </c>
    </row>
    <row r="206" spans="1:2" x14ac:dyDescent="0.2">
      <c r="A206" s="6" t="str">
        <f t="shared" si="159"/>
        <v>8- VERs Assigned to Washington&amp;</v>
      </c>
      <c r="B206" s="6" t="str">
        <f>'Scenario List'!$A$10</f>
        <v>8- VERs Assigned to Washington</v>
      </c>
    </row>
    <row r="207" spans="1:2" x14ac:dyDescent="0.2">
      <c r="A207" s="6" t="str">
        <f t="shared" si="159"/>
        <v>8- VERs Assigned to Washington&amp;</v>
      </c>
      <c r="B207" s="6" t="str">
        <f>'Scenario List'!$A$10</f>
        <v>8- VERs Assigned to Washington</v>
      </c>
    </row>
    <row r="208" spans="1:2" x14ac:dyDescent="0.2">
      <c r="A208" s="6" t="str">
        <f t="shared" si="159"/>
        <v>8- VERs Assigned to Washington&amp;</v>
      </c>
      <c r="B208" s="6" t="str">
        <f>'Scenario List'!$A$10</f>
        <v>8- VERs Assigned to Washington</v>
      </c>
    </row>
    <row r="209" spans="1:2" x14ac:dyDescent="0.2">
      <c r="A209" s="6" t="str">
        <f t="shared" si="159"/>
        <v>8- VERs Assigned to Washington&amp;</v>
      </c>
      <c r="B209" s="6" t="str">
        <f>'Scenario List'!$A$10</f>
        <v>8- VERs Assigned to Washington</v>
      </c>
    </row>
    <row r="210" spans="1:2" x14ac:dyDescent="0.2">
      <c r="A210" s="6" t="str">
        <f t="shared" si="159"/>
        <v>8- VERs Assigned to Washington&amp;</v>
      </c>
      <c r="B210" s="6" t="str">
        <f>'Scenario List'!$A$10</f>
        <v>8- VERs Assigned to Washington</v>
      </c>
    </row>
    <row r="211" spans="1:2" x14ac:dyDescent="0.2">
      <c r="A211" s="6" t="str">
        <f t="shared" si="159"/>
        <v>8- VERs Assigned to Washington&amp;</v>
      </c>
      <c r="B211" s="6" t="str">
        <f>'Scenario List'!$A$10</f>
        <v>8- VERs Assigned to Washington</v>
      </c>
    </row>
    <row r="212" spans="1:2" x14ac:dyDescent="0.2">
      <c r="A212" s="6" t="str">
        <f t="shared" si="159"/>
        <v>8- VERs Assigned to Washington&amp;</v>
      </c>
      <c r="B212" s="6" t="str">
        <f>'Scenario List'!$A$10</f>
        <v>8- VERs Assigned to Washington</v>
      </c>
    </row>
    <row r="213" spans="1:2" x14ac:dyDescent="0.2">
      <c r="A213" s="6" t="str">
        <f t="shared" si="159"/>
        <v>8- VERs Assigned to Washington&amp;</v>
      </c>
      <c r="B213" s="6" t="str">
        <f>'Scenario List'!$A$10</f>
        <v>8- VERs Assigned to Washington</v>
      </c>
    </row>
    <row r="214" spans="1:2" x14ac:dyDescent="0.2">
      <c r="A214" s="6" t="str">
        <f t="shared" si="159"/>
        <v>8- VERs Assigned to Washington&amp;</v>
      </c>
      <c r="B214" s="6" t="str">
        <f>'Scenario List'!$A$10</f>
        <v>8- VERs Assigned to Washington</v>
      </c>
    </row>
    <row r="215" spans="1:2" x14ac:dyDescent="0.2">
      <c r="A215" s="6" t="str">
        <f t="shared" si="159"/>
        <v>8- VERs Assigned to Washington&amp;</v>
      </c>
      <c r="B215" s="6" t="str">
        <f>'Scenario List'!$A$10</f>
        <v>8- VERs Assigned to Washington</v>
      </c>
    </row>
    <row r="216" spans="1:2" x14ac:dyDescent="0.2">
      <c r="A216" s="6" t="str">
        <f t="shared" si="159"/>
        <v>8- VERs Assigned to Washington&amp;</v>
      </c>
      <c r="B216" s="6" t="str">
        <f>'Scenario List'!$A$10</f>
        <v>8- VERs Assigned to Washington</v>
      </c>
    </row>
    <row r="217" spans="1:2" x14ac:dyDescent="0.2">
      <c r="A217" s="6" t="str">
        <f t="shared" si="159"/>
        <v>8- VERs Assigned to Washington&amp;</v>
      </c>
      <c r="B217" s="6" t="str">
        <f>'Scenario List'!$A$10</f>
        <v>8- VERs Assigned to Washington</v>
      </c>
    </row>
    <row r="218" spans="1:2" x14ac:dyDescent="0.2">
      <c r="A218" s="6" t="str">
        <f t="shared" si="159"/>
        <v>8- VERs Assigned to Washington&amp;</v>
      </c>
      <c r="B218" s="6" t="str">
        <f>'Scenario List'!$A$10</f>
        <v>8- VERs Assigned to Washington</v>
      </c>
    </row>
    <row r="219" spans="1:2" x14ac:dyDescent="0.2">
      <c r="A219" s="6" t="str">
        <f t="shared" si="159"/>
        <v>8- VERs Assigned to Washington&amp;</v>
      </c>
      <c r="B219" s="6" t="str">
        <f>'Scenario List'!$A$10</f>
        <v>8- VERs Assigned to Washington</v>
      </c>
    </row>
    <row r="220" spans="1:2" x14ac:dyDescent="0.2">
      <c r="A220" s="6" t="str">
        <f t="shared" si="159"/>
        <v>8- VERs Assigned to Washington&amp;</v>
      </c>
      <c r="B220" s="6" t="str">
        <f>'Scenario List'!$A$10</f>
        <v>8- VERs Assigned to Washington</v>
      </c>
    </row>
    <row r="221" spans="1:2" x14ac:dyDescent="0.2">
      <c r="A221" s="6" t="str">
        <f t="shared" si="159"/>
        <v>8- VERs Assigned to Washington&amp;</v>
      </c>
      <c r="B221" s="6" t="str">
        <f>'Scenario List'!$A$10</f>
        <v>8- VERs Assigned to Washington</v>
      </c>
    </row>
    <row r="222" spans="1:2" x14ac:dyDescent="0.2">
      <c r="A222" s="6" t="str">
        <f t="shared" si="159"/>
        <v>8- VERs Assigned to Washington&amp;</v>
      </c>
      <c r="B222" s="6" t="str">
        <f>'Scenario List'!$A$10</f>
        <v>8- VERs Assigned to Washington</v>
      </c>
    </row>
    <row r="223" spans="1:2" x14ac:dyDescent="0.2">
      <c r="A223" s="6" t="str">
        <f t="shared" si="159"/>
        <v>8- VERs Assigned to Washington&amp;</v>
      </c>
      <c r="B223" s="6" t="str">
        <f>'Scenario List'!$A$10</f>
        <v>8- VERs Assigned to Washington</v>
      </c>
    </row>
    <row r="224" spans="1:2" x14ac:dyDescent="0.2">
      <c r="A224" s="6" t="str">
        <f t="shared" si="159"/>
        <v>&amp;</v>
      </c>
    </row>
    <row r="225" spans="1:2" x14ac:dyDescent="0.2">
      <c r="A225" s="6" t="str">
        <f t="shared" si="159"/>
        <v>&amp;</v>
      </c>
    </row>
    <row r="226" spans="1:2" x14ac:dyDescent="0.2">
      <c r="A226" s="6" t="str">
        <f t="shared" si="159"/>
        <v>9- Low Economic Growth Loads&amp;</v>
      </c>
      <c r="B226" s="6" t="str">
        <f>'Scenario List'!$A$11</f>
        <v>9- Low Economic Growth Loads</v>
      </c>
    </row>
    <row r="227" spans="1:2" x14ac:dyDescent="0.2">
      <c r="A227" s="6" t="str">
        <f t="shared" si="159"/>
        <v>9- Low Economic Growth Loads&amp;</v>
      </c>
      <c r="B227" s="6" t="str">
        <f>'Scenario List'!$A$11</f>
        <v>9- Low Economic Growth Loads</v>
      </c>
    </row>
    <row r="228" spans="1:2" x14ac:dyDescent="0.2">
      <c r="A228" s="6" t="str">
        <f t="shared" si="159"/>
        <v>9- Low Economic Growth Loads&amp;</v>
      </c>
      <c r="B228" s="6" t="str">
        <f>'Scenario List'!$A$11</f>
        <v>9- Low Economic Growth Loads</v>
      </c>
    </row>
    <row r="229" spans="1:2" x14ac:dyDescent="0.2">
      <c r="A229" s="6" t="str">
        <f t="shared" si="159"/>
        <v>9- Low Economic Growth Loads&amp;</v>
      </c>
      <c r="B229" s="6" t="str">
        <f>'Scenario List'!$A$11</f>
        <v>9- Low Economic Growth Loads</v>
      </c>
    </row>
    <row r="230" spans="1:2" x14ac:dyDescent="0.2">
      <c r="A230" s="6" t="str">
        <f t="shared" si="159"/>
        <v>9- Low Economic Growth Loads&amp;</v>
      </c>
      <c r="B230" s="6" t="str">
        <f>'Scenario List'!$A$11</f>
        <v>9- Low Economic Growth Loads</v>
      </c>
    </row>
    <row r="231" spans="1:2" x14ac:dyDescent="0.2">
      <c r="A231" s="6" t="str">
        <f t="shared" si="159"/>
        <v>9- Low Economic Growth Loads&amp;</v>
      </c>
      <c r="B231" s="6" t="str">
        <f>'Scenario List'!$A$11</f>
        <v>9- Low Economic Growth Loads</v>
      </c>
    </row>
    <row r="232" spans="1:2" x14ac:dyDescent="0.2">
      <c r="A232" s="6" t="str">
        <f t="shared" si="159"/>
        <v>9- Low Economic Growth Loads&amp;</v>
      </c>
      <c r="B232" s="6" t="str">
        <f>'Scenario List'!$A$11</f>
        <v>9- Low Economic Growth Loads</v>
      </c>
    </row>
    <row r="233" spans="1:2" x14ac:dyDescent="0.2">
      <c r="A233" s="6" t="str">
        <f t="shared" si="159"/>
        <v>9- Low Economic Growth Loads&amp;</v>
      </c>
      <c r="B233" s="6" t="str">
        <f>'Scenario List'!$A$11</f>
        <v>9- Low Economic Growth Loads</v>
      </c>
    </row>
    <row r="234" spans="1:2" x14ac:dyDescent="0.2">
      <c r="A234" s="6" t="str">
        <f t="shared" si="159"/>
        <v>9- Low Economic Growth Loads&amp;</v>
      </c>
      <c r="B234" s="6" t="str">
        <f>'Scenario List'!$A$11</f>
        <v>9- Low Economic Growth Loads</v>
      </c>
    </row>
    <row r="235" spans="1:2" x14ac:dyDescent="0.2">
      <c r="A235" s="6" t="str">
        <f t="shared" si="159"/>
        <v>9- Low Economic Growth Loads&amp;</v>
      </c>
      <c r="B235" s="6" t="str">
        <f>'Scenario List'!$A$11</f>
        <v>9- Low Economic Growth Loads</v>
      </c>
    </row>
    <row r="236" spans="1:2" x14ac:dyDescent="0.2">
      <c r="A236" s="6" t="str">
        <f t="shared" si="159"/>
        <v>9- Low Economic Growth Loads&amp;</v>
      </c>
      <c r="B236" s="6" t="str">
        <f>'Scenario List'!$A$11</f>
        <v>9- Low Economic Growth Loads</v>
      </c>
    </row>
    <row r="237" spans="1:2" x14ac:dyDescent="0.2">
      <c r="A237" s="6" t="str">
        <f t="shared" si="159"/>
        <v>9- Low Economic Growth Loads&amp;</v>
      </c>
      <c r="B237" s="6" t="str">
        <f>'Scenario List'!$A$11</f>
        <v>9- Low Economic Growth Loads</v>
      </c>
    </row>
    <row r="238" spans="1:2" x14ac:dyDescent="0.2">
      <c r="A238" s="6" t="str">
        <f t="shared" si="159"/>
        <v>9- Low Economic Growth Loads&amp;</v>
      </c>
      <c r="B238" s="6" t="str">
        <f>'Scenario List'!$A$11</f>
        <v>9- Low Economic Growth Loads</v>
      </c>
    </row>
    <row r="239" spans="1:2" x14ac:dyDescent="0.2">
      <c r="A239" s="6" t="str">
        <f t="shared" si="159"/>
        <v>9- Low Economic Growth Loads&amp;</v>
      </c>
      <c r="B239" s="6" t="str">
        <f>'Scenario List'!$A$11</f>
        <v>9- Low Economic Growth Loads</v>
      </c>
    </row>
    <row r="240" spans="1:2" x14ac:dyDescent="0.2">
      <c r="A240" s="6" t="str">
        <f t="shared" si="159"/>
        <v>9- Low Economic Growth Loads&amp;</v>
      </c>
      <c r="B240" s="6" t="str">
        <f>'Scenario List'!$A$11</f>
        <v>9- Low Economic Growth Loads</v>
      </c>
    </row>
    <row r="241" spans="1:2" x14ac:dyDescent="0.2">
      <c r="A241" s="6" t="str">
        <f t="shared" si="159"/>
        <v>9- Low Economic Growth Loads&amp;</v>
      </c>
      <c r="B241" s="6" t="str">
        <f>'Scenario List'!$A$11</f>
        <v>9- Low Economic Growth Loads</v>
      </c>
    </row>
    <row r="242" spans="1:2" x14ac:dyDescent="0.2">
      <c r="A242" s="6" t="str">
        <f t="shared" si="159"/>
        <v>9- Low Economic Growth Loads&amp;</v>
      </c>
      <c r="B242" s="6" t="str">
        <f>'Scenario List'!$A$11</f>
        <v>9- Low Economic Growth Loads</v>
      </c>
    </row>
    <row r="243" spans="1:2" x14ac:dyDescent="0.2">
      <c r="A243" s="6" t="str">
        <f t="shared" si="159"/>
        <v>9- Low Economic Growth Loads&amp;</v>
      </c>
      <c r="B243" s="6" t="str">
        <f>'Scenario List'!$A$11</f>
        <v>9- Low Economic Growth Loads</v>
      </c>
    </row>
    <row r="244" spans="1:2" x14ac:dyDescent="0.2">
      <c r="A244" s="6" t="str">
        <f t="shared" si="159"/>
        <v>9- Low Economic Growth Loads&amp;</v>
      </c>
      <c r="B244" s="6" t="str">
        <f>'Scenario List'!$A$11</f>
        <v>9- Low Economic Growth Loads</v>
      </c>
    </row>
    <row r="245" spans="1:2" x14ac:dyDescent="0.2">
      <c r="A245" s="6" t="str">
        <f t="shared" si="159"/>
        <v>9- Low Economic Growth Loads&amp;</v>
      </c>
      <c r="B245" s="6" t="str">
        <f>'Scenario List'!$A$11</f>
        <v>9- Low Economic Growth Loads</v>
      </c>
    </row>
    <row r="246" spans="1:2" x14ac:dyDescent="0.2">
      <c r="A246" s="6" t="str">
        <f t="shared" si="159"/>
        <v>9- Low Economic Growth Loads&amp;</v>
      </c>
      <c r="B246" s="6" t="str">
        <f>'Scenario List'!$A$11</f>
        <v>9- Low Economic Growth Loads</v>
      </c>
    </row>
    <row r="247" spans="1:2" x14ac:dyDescent="0.2">
      <c r="A247" s="6" t="str">
        <f t="shared" si="159"/>
        <v>9- Low Economic Growth Loads&amp;</v>
      </c>
      <c r="B247" s="6" t="str">
        <f>'Scenario List'!$A$11</f>
        <v>9- Low Economic Growth Loads</v>
      </c>
    </row>
    <row r="248" spans="1:2" x14ac:dyDescent="0.2">
      <c r="A248" s="6" t="str">
        <f t="shared" si="159"/>
        <v>9- Low Economic Growth Loads&amp;</v>
      </c>
      <c r="B248" s="6" t="str">
        <f>'Scenario List'!$A$11</f>
        <v>9- Low Economic Growth Loads</v>
      </c>
    </row>
    <row r="249" spans="1:2" x14ac:dyDescent="0.2">
      <c r="A249" s="6" t="str">
        <f t="shared" si="159"/>
        <v>9- Low Economic Growth Loads&amp;</v>
      </c>
      <c r="B249" s="6" t="str">
        <f>'Scenario List'!$A$11</f>
        <v>9- Low Economic Growth Loads</v>
      </c>
    </row>
    <row r="250" spans="1:2" x14ac:dyDescent="0.2">
      <c r="A250" s="6" t="str">
        <f t="shared" si="159"/>
        <v>9- Low Economic Growth Loads&amp;</v>
      </c>
      <c r="B250" s="6" t="str">
        <f>'Scenario List'!$A$11</f>
        <v>9- Low Economic Growth Loads</v>
      </c>
    </row>
    <row r="251" spans="1:2" x14ac:dyDescent="0.2">
      <c r="A251" s="6" t="str">
        <f t="shared" si="159"/>
        <v>&amp;</v>
      </c>
    </row>
    <row r="252" spans="1:2" x14ac:dyDescent="0.2">
      <c r="A252" s="6" t="str">
        <f t="shared" si="159"/>
        <v>&amp;</v>
      </c>
    </row>
    <row r="253" spans="1:2" x14ac:dyDescent="0.2">
      <c r="A253" s="6" t="str">
        <f t="shared" si="159"/>
        <v>10- High Economic Growth Loads&amp;</v>
      </c>
      <c r="B253" s="6" t="str">
        <f>'Scenario List'!$A$12</f>
        <v>10- High Economic Growth Loads</v>
      </c>
    </row>
    <row r="254" spans="1:2" x14ac:dyDescent="0.2">
      <c r="A254" s="6" t="str">
        <f t="shared" si="159"/>
        <v>10- High Economic Growth Loads&amp;</v>
      </c>
      <c r="B254" s="6" t="str">
        <f>'Scenario List'!$A$12</f>
        <v>10- High Economic Growth Loads</v>
      </c>
    </row>
    <row r="255" spans="1:2" x14ac:dyDescent="0.2">
      <c r="A255" s="6" t="str">
        <f t="shared" si="159"/>
        <v>10- High Economic Growth Loads&amp;</v>
      </c>
      <c r="B255" s="6" t="str">
        <f>'Scenario List'!$A$12</f>
        <v>10- High Economic Growth Loads</v>
      </c>
    </row>
    <row r="256" spans="1:2" x14ac:dyDescent="0.2">
      <c r="A256" s="6" t="str">
        <f t="shared" si="159"/>
        <v>10- High Economic Growth Loads&amp;</v>
      </c>
      <c r="B256" s="6" t="str">
        <f>'Scenario List'!$A$12</f>
        <v>10- High Economic Growth Loads</v>
      </c>
    </row>
    <row r="257" spans="1:2" x14ac:dyDescent="0.2">
      <c r="A257" s="6" t="str">
        <f t="shared" si="159"/>
        <v>10- High Economic Growth Loads&amp;</v>
      </c>
      <c r="B257" s="6" t="str">
        <f>'Scenario List'!$A$12</f>
        <v>10- High Economic Growth Loads</v>
      </c>
    </row>
    <row r="258" spans="1:2" x14ac:dyDescent="0.2">
      <c r="A258" s="6" t="str">
        <f t="shared" si="159"/>
        <v>10- High Economic Growth Loads&amp;</v>
      </c>
      <c r="B258" s="6" t="str">
        <f>'Scenario List'!$A$12</f>
        <v>10- High Economic Growth Loads</v>
      </c>
    </row>
    <row r="259" spans="1:2" x14ac:dyDescent="0.2">
      <c r="A259" s="6" t="str">
        <f t="shared" si="159"/>
        <v>10- High Economic Growth Loads&amp;</v>
      </c>
      <c r="B259" s="6" t="str">
        <f>'Scenario List'!$A$12</f>
        <v>10- High Economic Growth Loads</v>
      </c>
    </row>
    <row r="260" spans="1:2" x14ac:dyDescent="0.2">
      <c r="A260" s="6" t="str">
        <f t="shared" si="159"/>
        <v>10- High Economic Growth Loads&amp;</v>
      </c>
      <c r="B260" s="6" t="str">
        <f>'Scenario List'!$A$12</f>
        <v>10- High Economic Growth Loads</v>
      </c>
    </row>
    <row r="261" spans="1:2" x14ac:dyDescent="0.2">
      <c r="A261" s="6" t="str">
        <f t="shared" ref="A261:A277" si="160">B261&amp;"&amp;"&amp;C261</f>
        <v>10- High Economic Growth Loads&amp;</v>
      </c>
      <c r="B261" s="6" t="str">
        <f>'Scenario List'!$A$12</f>
        <v>10- High Economic Growth Loads</v>
      </c>
    </row>
    <row r="262" spans="1:2" x14ac:dyDescent="0.2">
      <c r="A262" s="6" t="str">
        <f t="shared" si="160"/>
        <v>10- High Economic Growth Loads&amp;</v>
      </c>
      <c r="B262" s="6" t="str">
        <f>'Scenario List'!$A$12</f>
        <v>10- High Economic Growth Loads</v>
      </c>
    </row>
    <row r="263" spans="1:2" x14ac:dyDescent="0.2">
      <c r="A263" s="6" t="str">
        <f t="shared" si="160"/>
        <v>10- High Economic Growth Loads&amp;</v>
      </c>
      <c r="B263" s="6" t="str">
        <f>'Scenario List'!$A$12</f>
        <v>10- High Economic Growth Loads</v>
      </c>
    </row>
    <row r="264" spans="1:2" x14ac:dyDescent="0.2">
      <c r="A264" s="6" t="str">
        <f t="shared" si="160"/>
        <v>10- High Economic Growth Loads&amp;</v>
      </c>
      <c r="B264" s="6" t="str">
        <f>'Scenario List'!$A$12</f>
        <v>10- High Economic Growth Loads</v>
      </c>
    </row>
    <row r="265" spans="1:2" x14ac:dyDescent="0.2">
      <c r="A265" s="6" t="str">
        <f t="shared" si="160"/>
        <v>10- High Economic Growth Loads&amp;</v>
      </c>
      <c r="B265" s="6" t="str">
        <f>'Scenario List'!$A$12</f>
        <v>10- High Economic Growth Loads</v>
      </c>
    </row>
    <row r="266" spans="1:2" x14ac:dyDescent="0.2">
      <c r="A266" s="6" t="str">
        <f t="shared" si="160"/>
        <v>10- High Economic Growth Loads&amp;</v>
      </c>
      <c r="B266" s="6" t="str">
        <f>'Scenario List'!$A$12</f>
        <v>10- High Economic Growth Loads</v>
      </c>
    </row>
    <row r="267" spans="1:2" x14ac:dyDescent="0.2">
      <c r="A267" s="6" t="str">
        <f t="shared" si="160"/>
        <v>10- High Economic Growth Loads&amp;</v>
      </c>
      <c r="B267" s="6" t="str">
        <f>'Scenario List'!$A$12</f>
        <v>10- High Economic Growth Loads</v>
      </c>
    </row>
    <row r="268" spans="1:2" x14ac:dyDescent="0.2">
      <c r="A268" s="6" t="str">
        <f t="shared" si="160"/>
        <v>10- High Economic Growth Loads&amp;</v>
      </c>
      <c r="B268" s="6" t="str">
        <f>'Scenario List'!$A$12</f>
        <v>10- High Economic Growth Loads</v>
      </c>
    </row>
    <row r="269" spans="1:2" x14ac:dyDescent="0.2">
      <c r="A269" s="6" t="str">
        <f t="shared" si="160"/>
        <v>10- High Economic Growth Loads&amp;</v>
      </c>
      <c r="B269" s="6" t="str">
        <f>'Scenario List'!$A$12</f>
        <v>10- High Economic Growth Loads</v>
      </c>
    </row>
    <row r="270" spans="1:2" x14ac:dyDescent="0.2">
      <c r="A270" s="6" t="str">
        <f t="shared" si="160"/>
        <v>10- High Economic Growth Loads&amp;</v>
      </c>
      <c r="B270" s="6" t="str">
        <f>'Scenario List'!$A$12</f>
        <v>10- High Economic Growth Loads</v>
      </c>
    </row>
    <row r="271" spans="1:2" x14ac:dyDescent="0.2">
      <c r="A271" s="6" t="str">
        <f t="shared" si="160"/>
        <v>10- High Economic Growth Loads&amp;</v>
      </c>
      <c r="B271" s="6" t="str">
        <f>'Scenario List'!$A$12</f>
        <v>10- High Economic Growth Loads</v>
      </c>
    </row>
    <row r="272" spans="1:2" x14ac:dyDescent="0.2">
      <c r="A272" s="6" t="str">
        <f t="shared" si="160"/>
        <v>10- High Economic Growth Loads&amp;</v>
      </c>
      <c r="B272" s="6" t="str">
        <f>'Scenario List'!$A$12</f>
        <v>10- High Economic Growth Loads</v>
      </c>
    </row>
    <row r="273" spans="1:2" x14ac:dyDescent="0.2">
      <c r="A273" s="6" t="str">
        <f t="shared" si="160"/>
        <v>10- High Economic Growth Loads&amp;</v>
      </c>
      <c r="B273" s="6" t="str">
        <f>'Scenario List'!$A$12</f>
        <v>10- High Economic Growth Loads</v>
      </c>
    </row>
    <row r="274" spans="1:2" x14ac:dyDescent="0.2">
      <c r="A274" s="6" t="str">
        <f t="shared" si="160"/>
        <v>10- High Economic Growth Loads&amp;</v>
      </c>
      <c r="B274" s="6" t="str">
        <f>'Scenario List'!$A$12</f>
        <v>10- High Economic Growth Loads</v>
      </c>
    </row>
    <row r="275" spans="1:2" x14ac:dyDescent="0.2">
      <c r="A275" s="6" t="str">
        <f t="shared" si="160"/>
        <v>10- High Economic Growth Loads&amp;</v>
      </c>
      <c r="B275" s="6" t="str">
        <f>'Scenario List'!$A$12</f>
        <v>10- High Economic Growth Loads</v>
      </c>
    </row>
    <row r="276" spans="1:2" x14ac:dyDescent="0.2">
      <c r="A276" s="6" t="str">
        <f t="shared" si="160"/>
        <v>10- High Economic Growth Loads&amp;</v>
      </c>
      <c r="B276" s="6" t="str">
        <f>'Scenario List'!$A$12</f>
        <v>10- High Economic Growth Loads</v>
      </c>
    </row>
    <row r="277" spans="1:2" x14ac:dyDescent="0.2">
      <c r="A277" s="6" t="str">
        <f t="shared" si="160"/>
        <v>10- High Economic Growth Loads&amp;</v>
      </c>
      <c r="B277" s="6" t="str">
        <f>'Scenario List'!$A$12</f>
        <v>10- High Economic Growth Loads</v>
      </c>
    </row>
    <row r="280" spans="1:2" x14ac:dyDescent="0.2">
      <c r="A280" s="6" t="str">
        <f t="shared" ref="A280:A304" si="161">B280&amp;"&amp;"&amp;C280</f>
        <v>11- High Electric Vehicle Growth&amp;</v>
      </c>
      <c r="B280" s="6" t="str">
        <f>'Scenario List'!$A$13</f>
        <v>11- High Electric Vehicle Growth</v>
      </c>
    </row>
    <row r="281" spans="1:2" x14ac:dyDescent="0.2">
      <c r="A281" s="6" t="str">
        <f t="shared" si="161"/>
        <v>11- High Electric Vehicle Growth&amp;</v>
      </c>
      <c r="B281" s="6" t="str">
        <f>'Scenario List'!$A$13</f>
        <v>11- High Electric Vehicle Growth</v>
      </c>
    </row>
    <row r="282" spans="1:2" x14ac:dyDescent="0.2">
      <c r="A282" s="6" t="str">
        <f t="shared" si="161"/>
        <v>11- High Electric Vehicle Growth&amp;</v>
      </c>
      <c r="B282" s="6" t="str">
        <f>'Scenario List'!$A$13</f>
        <v>11- High Electric Vehicle Growth</v>
      </c>
    </row>
    <row r="283" spans="1:2" x14ac:dyDescent="0.2">
      <c r="A283" s="6" t="str">
        <f t="shared" si="161"/>
        <v>11- High Electric Vehicle Growth&amp;</v>
      </c>
      <c r="B283" s="6" t="str">
        <f>'Scenario List'!$A$13</f>
        <v>11- High Electric Vehicle Growth</v>
      </c>
    </row>
    <row r="284" spans="1:2" x14ac:dyDescent="0.2">
      <c r="A284" s="6" t="str">
        <f t="shared" si="161"/>
        <v>11- High Electric Vehicle Growth&amp;</v>
      </c>
      <c r="B284" s="6" t="str">
        <f>'Scenario List'!$A$13</f>
        <v>11- High Electric Vehicle Growth</v>
      </c>
    </row>
    <row r="285" spans="1:2" x14ac:dyDescent="0.2">
      <c r="A285" s="6" t="str">
        <f t="shared" si="161"/>
        <v>11- High Electric Vehicle Growth&amp;</v>
      </c>
      <c r="B285" s="6" t="str">
        <f>'Scenario List'!$A$13</f>
        <v>11- High Electric Vehicle Growth</v>
      </c>
    </row>
    <row r="286" spans="1:2" x14ac:dyDescent="0.2">
      <c r="A286" s="6" t="str">
        <f t="shared" si="161"/>
        <v>11- High Electric Vehicle Growth&amp;</v>
      </c>
      <c r="B286" s="6" t="str">
        <f>'Scenario List'!$A$13</f>
        <v>11- High Electric Vehicle Growth</v>
      </c>
    </row>
    <row r="287" spans="1:2" x14ac:dyDescent="0.2">
      <c r="A287" s="6" t="str">
        <f t="shared" si="161"/>
        <v>11- High Electric Vehicle Growth&amp;</v>
      </c>
      <c r="B287" s="6" t="str">
        <f>'Scenario List'!$A$13</f>
        <v>11- High Electric Vehicle Growth</v>
      </c>
    </row>
    <row r="288" spans="1:2" x14ac:dyDescent="0.2">
      <c r="A288" s="6" t="str">
        <f t="shared" si="161"/>
        <v>11- High Electric Vehicle Growth&amp;</v>
      </c>
      <c r="B288" s="6" t="str">
        <f>'Scenario List'!$A$13</f>
        <v>11- High Electric Vehicle Growth</v>
      </c>
    </row>
    <row r="289" spans="1:2" x14ac:dyDescent="0.2">
      <c r="A289" s="6" t="str">
        <f t="shared" si="161"/>
        <v>11- High Electric Vehicle Growth&amp;</v>
      </c>
      <c r="B289" s="6" t="str">
        <f>'Scenario List'!$A$13</f>
        <v>11- High Electric Vehicle Growth</v>
      </c>
    </row>
    <row r="290" spans="1:2" x14ac:dyDescent="0.2">
      <c r="A290" s="6" t="str">
        <f t="shared" si="161"/>
        <v>11- High Electric Vehicle Growth&amp;</v>
      </c>
      <c r="B290" s="6" t="str">
        <f>'Scenario List'!$A$13</f>
        <v>11- High Electric Vehicle Growth</v>
      </c>
    </row>
    <row r="291" spans="1:2" x14ac:dyDescent="0.2">
      <c r="A291" s="6" t="str">
        <f t="shared" si="161"/>
        <v>11- High Electric Vehicle Growth&amp;</v>
      </c>
      <c r="B291" s="6" t="str">
        <f>'Scenario List'!$A$13</f>
        <v>11- High Electric Vehicle Growth</v>
      </c>
    </row>
    <row r="292" spans="1:2" x14ac:dyDescent="0.2">
      <c r="A292" s="6" t="str">
        <f t="shared" si="161"/>
        <v>11- High Electric Vehicle Growth&amp;</v>
      </c>
      <c r="B292" s="6" t="str">
        <f>'Scenario List'!$A$13</f>
        <v>11- High Electric Vehicle Growth</v>
      </c>
    </row>
    <row r="293" spans="1:2" x14ac:dyDescent="0.2">
      <c r="A293" s="6" t="str">
        <f t="shared" si="161"/>
        <v>11- High Electric Vehicle Growth&amp;</v>
      </c>
      <c r="B293" s="6" t="str">
        <f>'Scenario List'!$A$13</f>
        <v>11- High Electric Vehicle Growth</v>
      </c>
    </row>
    <row r="294" spans="1:2" x14ac:dyDescent="0.2">
      <c r="A294" s="6" t="str">
        <f t="shared" si="161"/>
        <v>11- High Electric Vehicle Growth&amp;</v>
      </c>
      <c r="B294" s="6" t="str">
        <f>'Scenario List'!$A$13</f>
        <v>11- High Electric Vehicle Growth</v>
      </c>
    </row>
    <row r="295" spans="1:2" x14ac:dyDescent="0.2">
      <c r="A295" s="6" t="str">
        <f t="shared" si="161"/>
        <v>11- High Electric Vehicle Growth&amp;</v>
      </c>
      <c r="B295" s="6" t="str">
        <f>'Scenario List'!$A$13</f>
        <v>11- High Electric Vehicle Growth</v>
      </c>
    </row>
    <row r="296" spans="1:2" x14ac:dyDescent="0.2">
      <c r="A296" s="6" t="str">
        <f t="shared" si="161"/>
        <v>11- High Electric Vehicle Growth&amp;</v>
      </c>
      <c r="B296" s="6" t="str">
        <f>'Scenario List'!$A$13</f>
        <v>11- High Electric Vehicle Growth</v>
      </c>
    </row>
    <row r="297" spans="1:2" x14ac:dyDescent="0.2">
      <c r="A297" s="6" t="str">
        <f t="shared" si="161"/>
        <v>11- High Electric Vehicle Growth&amp;</v>
      </c>
      <c r="B297" s="6" t="str">
        <f>'Scenario List'!$A$13</f>
        <v>11- High Electric Vehicle Growth</v>
      </c>
    </row>
    <row r="298" spans="1:2" x14ac:dyDescent="0.2">
      <c r="A298" s="6" t="str">
        <f t="shared" si="161"/>
        <v>11- High Electric Vehicle Growth&amp;</v>
      </c>
      <c r="B298" s="6" t="str">
        <f>'Scenario List'!$A$13</f>
        <v>11- High Electric Vehicle Growth</v>
      </c>
    </row>
    <row r="299" spans="1:2" x14ac:dyDescent="0.2">
      <c r="A299" s="6" t="str">
        <f t="shared" si="161"/>
        <v>11- High Electric Vehicle Growth&amp;</v>
      </c>
      <c r="B299" s="6" t="str">
        <f>'Scenario List'!$A$13</f>
        <v>11- High Electric Vehicle Growth</v>
      </c>
    </row>
    <row r="300" spans="1:2" x14ac:dyDescent="0.2">
      <c r="A300" s="6" t="str">
        <f t="shared" si="161"/>
        <v>11- High Electric Vehicle Growth&amp;</v>
      </c>
      <c r="B300" s="6" t="str">
        <f>'Scenario List'!$A$13</f>
        <v>11- High Electric Vehicle Growth</v>
      </c>
    </row>
    <row r="301" spans="1:2" x14ac:dyDescent="0.2">
      <c r="A301" s="6" t="str">
        <f t="shared" si="161"/>
        <v>11- High Electric Vehicle Growth&amp;</v>
      </c>
      <c r="B301" s="6" t="str">
        <f>'Scenario List'!$A$13</f>
        <v>11- High Electric Vehicle Growth</v>
      </c>
    </row>
    <row r="302" spans="1:2" x14ac:dyDescent="0.2">
      <c r="A302" s="6" t="str">
        <f t="shared" si="161"/>
        <v>11- High Electric Vehicle Growth&amp;</v>
      </c>
      <c r="B302" s="6" t="str">
        <f>'Scenario List'!$A$13</f>
        <v>11- High Electric Vehicle Growth</v>
      </c>
    </row>
    <row r="303" spans="1:2" x14ac:dyDescent="0.2">
      <c r="A303" s="6" t="str">
        <f t="shared" si="161"/>
        <v>11- High Electric Vehicle Growth&amp;</v>
      </c>
      <c r="B303" s="6" t="str">
        <f>'Scenario List'!$A$13</f>
        <v>11- High Electric Vehicle Growth</v>
      </c>
    </row>
    <row r="304" spans="1:2" x14ac:dyDescent="0.2">
      <c r="A304" s="6" t="str">
        <f t="shared" si="161"/>
        <v>11- High Electric Vehicle Growth&amp;</v>
      </c>
      <c r="B304" s="6" t="str">
        <f>'Scenario List'!$A$13</f>
        <v>11- High Electric Vehicle Growth</v>
      </c>
    </row>
    <row r="307" spans="1:2" x14ac:dyDescent="0.2">
      <c r="A307" s="6" t="str">
        <f t="shared" ref="A307:A331" si="162">B307&amp;"&amp;"&amp;C307</f>
        <v>12- WA Space/ Water Electrification&amp;</v>
      </c>
      <c r="B307" s="6" t="str">
        <f>'Scenario List'!$A$14</f>
        <v>12- WA Space/ Water Electrification</v>
      </c>
    </row>
    <row r="308" spans="1:2" x14ac:dyDescent="0.2">
      <c r="A308" s="6" t="str">
        <f t="shared" si="162"/>
        <v>12- WA Space/ Water Electrification&amp;</v>
      </c>
      <c r="B308" s="6" t="str">
        <f>'Scenario List'!$A$14</f>
        <v>12- WA Space/ Water Electrification</v>
      </c>
    </row>
    <row r="309" spans="1:2" x14ac:dyDescent="0.2">
      <c r="A309" s="6" t="str">
        <f t="shared" si="162"/>
        <v>12- WA Space/ Water Electrification&amp;</v>
      </c>
      <c r="B309" s="6" t="str">
        <f>'Scenario List'!$A$14</f>
        <v>12- WA Space/ Water Electrification</v>
      </c>
    </row>
    <row r="310" spans="1:2" x14ac:dyDescent="0.2">
      <c r="A310" s="6" t="str">
        <f t="shared" si="162"/>
        <v>12- WA Space/ Water Electrification&amp;</v>
      </c>
      <c r="B310" s="6" t="str">
        <f>'Scenario List'!$A$14</f>
        <v>12- WA Space/ Water Electrification</v>
      </c>
    </row>
    <row r="311" spans="1:2" x14ac:dyDescent="0.2">
      <c r="A311" s="6" t="str">
        <f t="shared" si="162"/>
        <v>12- WA Space/ Water Electrification&amp;</v>
      </c>
      <c r="B311" s="6" t="str">
        <f>'Scenario List'!$A$14</f>
        <v>12- WA Space/ Water Electrification</v>
      </c>
    </row>
    <row r="312" spans="1:2" x14ac:dyDescent="0.2">
      <c r="A312" s="6" t="str">
        <f t="shared" si="162"/>
        <v>12- WA Space/ Water Electrification&amp;</v>
      </c>
      <c r="B312" s="6" t="str">
        <f>'Scenario List'!$A$14</f>
        <v>12- WA Space/ Water Electrification</v>
      </c>
    </row>
    <row r="313" spans="1:2" x14ac:dyDescent="0.2">
      <c r="A313" s="6" t="str">
        <f t="shared" si="162"/>
        <v>12- WA Space/ Water Electrification&amp;</v>
      </c>
      <c r="B313" s="6" t="str">
        <f>'Scenario List'!$A$14</f>
        <v>12- WA Space/ Water Electrification</v>
      </c>
    </row>
    <row r="314" spans="1:2" x14ac:dyDescent="0.2">
      <c r="A314" s="6" t="str">
        <f t="shared" si="162"/>
        <v>12- WA Space/ Water Electrification&amp;</v>
      </c>
      <c r="B314" s="6" t="str">
        <f>'Scenario List'!$A$14</f>
        <v>12- WA Space/ Water Electrification</v>
      </c>
    </row>
    <row r="315" spans="1:2" x14ac:dyDescent="0.2">
      <c r="A315" s="6" t="str">
        <f t="shared" si="162"/>
        <v>12- WA Space/ Water Electrification&amp;</v>
      </c>
      <c r="B315" s="6" t="str">
        <f>'Scenario List'!$A$14</f>
        <v>12- WA Space/ Water Electrification</v>
      </c>
    </row>
    <row r="316" spans="1:2" x14ac:dyDescent="0.2">
      <c r="A316" s="6" t="str">
        <f t="shared" si="162"/>
        <v>12- WA Space/ Water Electrification&amp;</v>
      </c>
      <c r="B316" s="6" t="str">
        <f>'Scenario List'!$A$14</f>
        <v>12- WA Space/ Water Electrification</v>
      </c>
    </row>
    <row r="317" spans="1:2" x14ac:dyDescent="0.2">
      <c r="A317" s="6" t="str">
        <f t="shared" si="162"/>
        <v>12- WA Space/ Water Electrification&amp;</v>
      </c>
      <c r="B317" s="6" t="str">
        <f>'Scenario List'!$A$14</f>
        <v>12- WA Space/ Water Electrification</v>
      </c>
    </row>
    <row r="318" spans="1:2" x14ac:dyDescent="0.2">
      <c r="A318" s="6" t="str">
        <f t="shared" si="162"/>
        <v>12- WA Space/ Water Electrification&amp;</v>
      </c>
      <c r="B318" s="6" t="str">
        <f>'Scenario List'!$A$14</f>
        <v>12- WA Space/ Water Electrification</v>
      </c>
    </row>
    <row r="319" spans="1:2" x14ac:dyDescent="0.2">
      <c r="A319" s="6" t="str">
        <f t="shared" si="162"/>
        <v>12- WA Space/ Water Electrification&amp;</v>
      </c>
      <c r="B319" s="6" t="str">
        <f>'Scenario List'!$A$14</f>
        <v>12- WA Space/ Water Electrification</v>
      </c>
    </row>
    <row r="320" spans="1:2" x14ac:dyDescent="0.2">
      <c r="A320" s="6" t="str">
        <f t="shared" si="162"/>
        <v>12- WA Space/ Water Electrification&amp;</v>
      </c>
      <c r="B320" s="6" t="str">
        <f>'Scenario List'!$A$14</f>
        <v>12- WA Space/ Water Electrification</v>
      </c>
    </row>
    <row r="321" spans="1:2" x14ac:dyDescent="0.2">
      <c r="A321" s="6" t="str">
        <f t="shared" si="162"/>
        <v>12- WA Space/ Water Electrification&amp;</v>
      </c>
      <c r="B321" s="6" t="str">
        <f>'Scenario List'!$A$14</f>
        <v>12- WA Space/ Water Electrification</v>
      </c>
    </row>
    <row r="322" spans="1:2" x14ac:dyDescent="0.2">
      <c r="A322" s="6" t="str">
        <f t="shared" si="162"/>
        <v>12- WA Space/ Water Electrification&amp;</v>
      </c>
      <c r="B322" s="6" t="str">
        <f>'Scenario List'!$A$14</f>
        <v>12- WA Space/ Water Electrification</v>
      </c>
    </row>
    <row r="323" spans="1:2" x14ac:dyDescent="0.2">
      <c r="A323" s="6" t="str">
        <f t="shared" si="162"/>
        <v>12- WA Space/ Water Electrification&amp;</v>
      </c>
      <c r="B323" s="6" t="str">
        <f>'Scenario List'!$A$14</f>
        <v>12- WA Space/ Water Electrification</v>
      </c>
    </row>
    <row r="324" spans="1:2" x14ac:dyDescent="0.2">
      <c r="A324" s="6" t="str">
        <f t="shared" si="162"/>
        <v>12- WA Space/ Water Electrification&amp;</v>
      </c>
      <c r="B324" s="6" t="str">
        <f>'Scenario List'!$A$14</f>
        <v>12- WA Space/ Water Electrification</v>
      </c>
    </row>
    <row r="325" spans="1:2" x14ac:dyDescent="0.2">
      <c r="A325" s="6" t="str">
        <f t="shared" si="162"/>
        <v>12- WA Space/ Water Electrification&amp;</v>
      </c>
      <c r="B325" s="6" t="str">
        <f>'Scenario List'!$A$14</f>
        <v>12- WA Space/ Water Electrification</v>
      </c>
    </row>
    <row r="326" spans="1:2" x14ac:dyDescent="0.2">
      <c r="A326" s="6" t="str">
        <f t="shared" si="162"/>
        <v>12- WA Space/ Water Electrification&amp;</v>
      </c>
      <c r="B326" s="6" t="str">
        <f>'Scenario List'!$A$14</f>
        <v>12- WA Space/ Water Electrification</v>
      </c>
    </row>
    <row r="327" spans="1:2" x14ac:dyDescent="0.2">
      <c r="A327" s="6" t="str">
        <f t="shared" si="162"/>
        <v>12- WA Space/ Water Electrification&amp;</v>
      </c>
      <c r="B327" s="6" t="str">
        <f>'Scenario List'!$A$14</f>
        <v>12- WA Space/ Water Electrification</v>
      </c>
    </row>
    <row r="328" spans="1:2" x14ac:dyDescent="0.2">
      <c r="A328" s="6" t="str">
        <f t="shared" si="162"/>
        <v>12- WA Space/ Water Electrification&amp;</v>
      </c>
      <c r="B328" s="6" t="str">
        <f>'Scenario List'!$A$14</f>
        <v>12- WA Space/ Water Electrification</v>
      </c>
    </row>
    <row r="329" spans="1:2" x14ac:dyDescent="0.2">
      <c r="A329" s="6" t="str">
        <f t="shared" si="162"/>
        <v>12- WA Space/ Water Electrification&amp;</v>
      </c>
      <c r="B329" s="6" t="str">
        <f>'Scenario List'!$A$14</f>
        <v>12- WA Space/ Water Electrification</v>
      </c>
    </row>
    <row r="330" spans="1:2" x14ac:dyDescent="0.2">
      <c r="A330" s="6" t="str">
        <f t="shared" si="162"/>
        <v>12- WA Space/ Water Electrification&amp;</v>
      </c>
      <c r="B330" s="6" t="str">
        <f>'Scenario List'!$A$14</f>
        <v>12- WA Space/ Water Electrification</v>
      </c>
    </row>
    <row r="331" spans="1:2" x14ac:dyDescent="0.2">
      <c r="A331" s="6" t="str">
        <f t="shared" si="162"/>
        <v>12- WA Space/ Water Electrification&amp;</v>
      </c>
      <c r="B331" s="6" t="str">
        <f>'Scenario List'!$A$14</f>
        <v>12- WA Space/ Water Electrification</v>
      </c>
    </row>
    <row r="334" spans="1:2" x14ac:dyDescent="0.2">
      <c r="A334" s="6" t="str">
        <f t="shared" ref="A334:A358" si="163">B334&amp;"&amp;"&amp;C334</f>
        <v>13- WA Space/ Water Electrification w/NG Backup&amp;</v>
      </c>
      <c r="B334" s="6" t="str">
        <f>'Scenario List'!$A$15</f>
        <v>13- WA Space/ Water Electrification w/NG Backup</v>
      </c>
    </row>
    <row r="335" spans="1:2" x14ac:dyDescent="0.2">
      <c r="A335" s="6" t="str">
        <f t="shared" si="163"/>
        <v>13- WA Space/ Water Electrification w/NG Backup&amp;</v>
      </c>
      <c r="B335" s="6" t="str">
        <f>'Scenario List'!$A$15</f>
        <v>13- WA Space/ Water Electrification w/NG Backup</v>
      </c>
    </row>
    <row r="336" spans="1:2" x14ac:dyDescent="0.2">
      <c r="A336" s="6" t="str">
        <f t="shared" si="163"/>
        <v>13- WA Space/ Water Electrification w/NG Backup&amp;</v>
      </c>
      <c r="B336" s="6" t="str">
        <f>'Scenario List'!$A$15</f>
        <v>13- WA Space/ Water Electrification w/NG Backup</v>
      </c>
    </row>
    <row r="337" spans="1:2" x14ac:dyDescent="0.2">
      <c r="A337" s="6" t="str">
        <f t="shared" si="163"/>
        <v>13- WA Space/ Water Electrification w/NG Backup&amp;</v>
      </c>
      <c r="B337" s="6" t="str">
        <f>'Scenario List'!$A$15</f>
        <v>13- WA Space/ Water Electrification w/NG Backup</v>
      </c>
    </row>
    <row r="338" spans="1:2" x14ac:dyDescent="0.2">
      <c r="A338" s="6" t="str">
        <f t="shared" si="163"/>
        <v>13- WA Space/ Water Electrification w/NG Backup&amp;</v>
      </c>
      <c r="B338" s="6" t="str">
        <f>'Scenario List'!$A$15</f>
        <v>13- WA Space/ Water Electrification w/NG Backup</v>
      </c>
    </row>
    <row r="339" spans="1:2" x14ac:dyDescent="0.2">
      <c r="A339" s="6" t="str">
        <f t="shared" si="163"/>
        <v>13- WA Space/ Water Electrification w/NG Backup&amp;</v>
      </c>
      <c r="B339" s="6" t="str">
        <f>'Scenario List'!$A$15</f>
        <v>13- WA Space/ Water Electrification w/NG Backup</v>
      </c>
    </row>
    <row r="340" spans="1:2" x14ac:dyDescent="0.2">
      <c r="A340" s="6" t="str">
        <f t="shared" si="163"/>
        <v>13- WA Space/ Water Electrification w/NG Backup&amp;</v>
      </c>
      <c r="B340" s="6" t="str">
        <f>'Scenario List'!$A$15</f>
        <v>13- WA Space/ Water Electrification w/NG Backup</v>
      </c>
    </row>
    <row r="341" spans="1:2" x14ac:dyDescent="0.2">
      <c r="A341" s="6" t="str">
        <f t="shared" si="163"/>
        <v>13- WA Space/ Water Electrification w/NG Backup&amp;</v>
      </c>
      <c r="B341" s="6" t="str">
        <f>'Scenario List'!$A$15</f>
        <v>13- WA Space/ Water Electrification w/NG Backup</v>
      </c>
    </row>
    <row r="342" spans="1:2" x14ac:dyDescent="0.2">
      <c r="A342" s="6" t="str">
        <f t="shared" si="163"/>
        <v>13- WA Space/ Water Electrification w/NG Backup&amp;</v>
      </c>
      <c r="B342" s="6" t="str">
        <f>'Scenario List'!$A$15</f>
        <v>13- WA Space/ Water Electrification w/NG Backup</v>
      </c>
    </row>
    <row r="343" spans="1:2" x14ac:dyDescent="0.2">
      <c r="A343" s="6" t="str">
        <f t="shared" si="163"/>
        <v>13- WA Space/ Water Electrification w/NG Backup&amp;</v>
      </c>
      <c r="B343" s="6" t="str">
        <f>'Scenario List'!$A$15</f>
        <v>13- WA Space/ Water Electrification w/NG Backup</v>
      </c>
    </row>
    <row r="344" spans="1:2" x14ac:dyDescent="0.2">
      <c r="A344" s="6" t="str">
        <f t="shared" si="163"/>
        <v>13- WA Space/ Water Electrification w/NG Backup&amp;</v>
      </c>
      <c r="B344" s="6" t="str">
        <f>'Scenario List'!$A$15</f>
        <v>13- WA Space/ Water Electrification w/NG Backup</v>
      </c>
    </row>
    <row r="345" spans="1:2" x14ac:dyDescent="0.2">
      <c r="A345" s="6" t="str">
        <f t="shared" si="163"/>
        <v>13- WA Space/ Water Electrification w/NG Backup&amp;</v>
      </c>
      <c r="B345" s="6" t="str">
        <f>'Scenario List'!$A$15</f>
        <v>13- WA Space/ Water Electrification w/NG Backup</v>
      </c>
    </row>
    <row r="346" spans="1:2" x14ac:dyDescent="0.2">
      <c r="A346" s="6" t="str">
        <f t="shared" si="163"/>
        <v>13- WA Space/ Water Electrification w/NG Backup&amp;</v>
      </c>
      <c r="B346" s="6" t="str">
        <f>'Scenario List'!$A$15</f>
        <v>13- WA Space/ Water Electrification w/NG Backup</v>
      </c>
    </row>
    <row r="347" spans="1:2" x14ac:dyDescent="0.2">
      <c r="A347" s="6" t="str">
        <f t="shared" si="163"/>
        <v>13- WA Space/ Water Electrification w/NG Backup&amp;</v>
      </c>
      <c r="B347" s="6" t="str">
        <f>'Scenario List'!$A$15</f>
        <v>13- WA Space/ Water Electrification w/NG Backup</v>
      </c>
    </row>
    <row r="348" spans="1:2" x14ac:dyDescent="0.2">
      <c r="A348" s="6" t="str">
        <f t="shared" si="163"/>
        <v>13- WA Space/ Water Electrification w/NG Backup&amp;</v>
      </c>
      <c r="B348" s="6" t="str">
        <f>'Scenario List'!$A$15</f>
        <v>13- WA Space/ Water Electrification w/NG Backup</v>
      </c>
    </row>
    <row r="349" spans="1:2" x14ac:dyDescent="0.2">
      <c r="A349" s="6" t="str">
        <f t="shared" si="163"/>
        <v>13- WA Space/ Water Electrification w/NG Backup&amp;</v>
      </c>
      <c r="B349" s="6" t="str">
        <f>'Scenario List'!$A$15</f>
        <v>13- WA Space/ Water Electrification w/NG Backup</v>
      </c>
    </row>
    <row r="350" spans="1:2" x14ac:dyDescent="0.2">
      <c r="A350" s="6" t="str">
        <f t="shared" si="163"/>
        <v>13- WA Space/ Water Electrification w/NG Backup&amp;</v>
      </c>
      <c r="B350" s="6" t="str">
        <f>'Scenario List'!$A$15</f>
        <v>13- WA Space/ Water Electrification w/NG Backup</v>
      </c>
    </row>
    <row r="351" spans="1:2" x14ac:dyDescent="0.2">
      <c r="A351" s="6" t="str">
        <f t="shared" si="163"/>
        <v>13- WA Space/ Water Electrification w/NG Backup&amp;</v>
      </c>
      <c r="B351" s="6" t="str">
        <f>'Scenario List'!$A$15</f>
        <v>13- WA Space/ Water Electrification w/NG Backup</v>
      </c>
    </row>
    <row r="352" spans="1:2" x14ac:dyDescent="0.2">
      <c r="A352" s="6" t="str">
        <f t="shared" si="163"/>
        <v>13- WA Space/ Water Electrification w/NG Backup&amp;</v>
      </c>
      <c r="B352" s="6" t="str">
        <f>'Scenario List'!$A$15</f>
        <v>13- WA Space/ Water Electrification w/NG Backup</v>
      </c>
    </row>
    <row r="353" spans="1:2" x14ac:dyDescent="0.2">
      <c r="A353" s="6" t="str">
        <f t="shared" si="163"/>
        <v>13- WA Space/ Water Electrification w/NG Backup&amp;</v>
      </c>
      <c r="B353" s="6" t="str">
        <f>'Scenario List'!$A$15</f>
        <v>13- WA Space/ Water Electrification w/NG Backup</v>
      </c>
    </row>
    <row r="354" spans="1:2" x14ac:dyDescent="0.2">
      <c r="A354" s="6" t="str">
        <f t="shared" si="163"/>
        <v>13- WA Space/ Water Electrification w/NG Backup&amp;</v>
      </c>
      <c r="B354" s="6" t="str">
        <f>'Scenario List'!$A$15</f>
        <v>13- WA Space/ Water Electrification w/NG Backup</v>
      </c>
    </row>
    <row r="355" spans="1:2" x14ac:dyDescent="0.2">
      <c r="A355" s="6" t="str">
        <f t="shared" si="163"/>
        <v>13- WA Space/ Water Electrification w/NG Backup&amp;</v>
      </c>
      <c r="B355" s="6" t="str">
        <f>'Scenario List'!$A$15</f>
        <v>13- WA Space/ Water Electrification w/NG Backup</v>
      </c>
    </row>
    <row r="356" spans="1:2" x14ac:dyDescent="0.2">
      <c r="A356" s="6" t="str">
        <f t="shared" si="163"/>
        <v>13- WA Space/ Water Electrification w/NG Backup&amp;</v>
      </c>
      <c r="B356" s="6" t="str">
        <f>'Scenario List'!$A$15</f>
        <v>13- WA Space/ Water Electrification w/NG Backup</v>
      </c>
    </row>
    <row r="357" spans="1:2" x14ac:dyDescent="0.2">
      <c r="A357" s="6" t="str">
        <f t="shared" si="163"/>
        <v>13- WA Space/ Water Electrification w/NG Backup&amp;</v>
      </c>
      <c r="B357" s="6" t="str">
        <f>'Scenario List'!$A$15</f>
        <v>13- WA Space/ Water Electrification w/NG Backup</v>
      </c>
    </row>
    <row r="358" spans="1:2" x14ac:dyDescent="0.2">
      <c r="A358" s="6" t="str">
        <f t="shared" si="163"/>
        <v>13- WA Space/ Water Electrification w/NG Backup&amp;</v>
      </c>
      <c r="B358" s="6" t="str">
        <f>'Scenario List'!$A$15</f>
        <v>13- WA Space/ Water Electrification w/NG Backup</v>
      </c>
    </row>
    <row r="361" spans="1:2" x14ac:dyDescent="0.2">
      <c r="A361" s="6" t="str">
        <f t="shared" ref="A361:A385" si="164">B361&amp;"&amp;"&amp;C361</f>
        <v>14- Combined Electrification&amp;</v>
      </c>
      <c r="B361" s="6" t="str">
        <f>'Scenario List'!$A$16</f>
        <v>14- Combined Electrification</v>
      </c>
    </row>
    <row r="362" spans="1:2" x14ac:dyDescent="0.2">
      <c r="A362" s="6" t="str">
        <f t="shared" si="164"/>
        <v>14- Combined Electrification&amp;</v>
      </c>
      <c r="B362" s="6" t="str">
        <f>'Scenario List'!$A$16</f>
        <v>14- Combined Electrification</v>
      </c>
    </row>
    <row r="363" spans="1:2" x14ac:dyDescent="0.2">
      <c r="A363" s="6" t="str">
        <f t="shared" si="164"/>
        <v>14- Combined Electrification&amp;</v>
      </c>
      <c r="B363" s="6" t="str">
        <f>'Scenario List'!$A$16</f>
        <v>14- Combined Electrification</v>
      </c>
    </row>
    <row r="364" spans="1:2" x14ac:dyDescent="0.2">
      <c r="A364" s="6" t="str">
        <f t="shared" si="164"/>
        <v>14- Combined Electrification&amp;</v>
      </c>
      <c r="B364" s="6" t="str">
        <f>'Scenario List'!$A$16</f>
        <v>14- Combined Electrification</v>
      </c>
    </row>
    <row r="365" spans="1:2" x14ac:dyDescent="0.2">
      <c r="A365" s="6" t="str">
        <f t="shared" si="164"/>
        <v>14- Combined Electrification&amp;</v>
      </c>
      <c r="B365" s="6" t="str">
        <f>'Scenario List'!$A$16</f>
        <v>14- Combined Electrification</v>
      </c>
    </row>
    <row r="366" spans="1:2" x14ac:dyDescent="0.2">
      <c r="A366" s="6" t="str">
        <f t="shared" si="164"/>
        <v>14- Combined Electrification&amp;</v>
      </c>
      <c r="B366" s="6" t="str">
        <f>'Scenario List'!$A$16</f>
        <v>14- Combined Electrification</v>
      </c>
    </row>
    <row r="367" spans="1:2" x14ac:dyDescent="0.2">
      <c r="A367" s="6" t="str">
        <f t="shared" si="164"/>
        <v>14- Combined Electrification&amp;</v>
      </c>
      <c r="B367" s="6" t="str">
        <f>'Scenario List'!$A$16</f>
        <v>14- Combined Electrification</v>
      </c>
    </row>
    <row r="368" spans="1:2" x14ac:dyDescent="0.2">
      <c r="A368" s="6" t="str">
        <f t="shared" si="164"/>
        <v>14- Combined Electrification&amp;</v>
      </c>
      <c r="B368" s="6" t="str">
        <f>'Scenario List'!$A$16</f>
        <v>14- Combined Electrification</v>
      </c>
    </row>
    <row r="369" spans="1:2" x14ac:dyDescent="0.2">
      <c r="A369" s="6" t="str">
        <f t="shared" si="164"/>
        <v>14- Combined Electrification&amp;</v>
      </c>
      <c r="B369" s="6" t="str">
        <f>'Scenario List'!$A$16</f>
        <v>14- Combined Electrification</v>
      </c>
    </row>
    <row r="370" spans="1:2" x14ac:dyDescent="0.2">
      <c r="A370" s="6" t="str">
        <f t="shared" si="164"/>
        <v>14- Combined Electrification&amp;</v>
      </c>
      <c r="B370" s="6" t="str">
        <f>'Scenario List'!$A$16</f>
        <v>14- Combined Electrification</v>
      </c>
    </row>
    <row r="371" spans="1:2" x14ac:dyDescent="0.2">
      <c r="A371" s="6" t="str">
        <f t="shared" si="164"/>
        <v>14- Combined Electrification&amp;</v>
      </c>
      <c r="B371" s="6" t="str">
        <f>'Scenario List'!$A$16</f>
        <v>14- Combined Electrification</v>
      </c>
    </row>
    <row r="372" spans="1:2" x14ac:dyDescent="0.2">
      <c r="A372" s="6" t="str">
        <f t="shared" si="164"/>
        <v>14- Combined Electrification&amp;</v>
      </c>
      <c r="B372" s="6" t="str">
        <f>'Scenario List'!$A$16</f>
        <v>14- Combined Electrification</v>
      </c>
    </row>
    <row r="373" spans="1:2" x14ac:dyDescent="0.2">
      <c r="A373" s="6" t="str">
        <f t="shared" si="164"/>
        <v>14- Combined Electrification&amp;</v>
      </c>
      <c r="B373" s="6" t="str">
        <f>'Scenario List'!$A$16</f>
        <v>14- Combined Electrification</v>
      </c>
    </row>
    <row r="374" spans="1:2" x14ac:dyDescent="0.2">
      <c r="A374" s="6" t="str">
        <f t="shared" si="164"/>
        <v>14- Combined Electrification&amp;</v>
      </c>
      <c r="B374" s="6" t="str">
        <f>'Scenario List'!$A$16</f>
        <v>14- Combined Electrification</v>
      </c>
    </row>
    <row r="375" spans="1:2" x14ac:dyDescent="0.2">
      <c r="A375" s="6" t="str">
        <f t="shared" si="164"/>
        <v>14- Combined Electrification&amp;</v>
      </c>
      <c r="B375" s="6" t="str">
        <f>'Scenario List'!$A$16</f>
        <v>14- Combined Electrification</v>
      </c>
    </row>
    <row r="376" spans="1:2" x14ac:dyDescent="0.2">
      <c r="A376" s="6" t="str">
        <f t="shared" si="164"/>
        <v>14- Combined Electrification&amp;</v>
      </c>
      <c r="B376" s="6" t="str">
        <f>'Scenario List'!$A$16</f>
        <v>14- Combined Electrification</v>
      </c>
    </row>
    <row r="377" spans="1:2" x14ac:dyDescent="0.2">
      <c r="A377" s="6" t="str">
        <f t="shared" si="164"/>
        <v>14- Combined Electrification&amp;</v>
      </c>
      <c r="B377" s="6" t="str">
        <f>'Scenario List'!$A$16</f>
        <v>14- Combined Electrification</v>
      </c>
    </row>
    <row r="378" spans="1:2" x14ac:dyDescent="0.2">
      <c r="A378" s="6" t="str">
        <f t="shared" si="164"/>
        <v>14- Combined Electrification&amp;</v>
      </c>
      <c r="B378" s="6" t="str">
        <f>'Scenario List'!$A$16</f>
        <v>14- Combined Electrification</v>
      </c>
    </row>
    <row r="379" spans="1:2" x14ac:dyDescent="0.2">
      <c r="A379" s="6" t="str">
        <f t="shared" si="164"/>
        <v>14- Combined Electrification&amp;</v>
      </c>
      <c r="B379" s="6" t="str">
        <f>'Scenario List'!$A$16</f>
        <v>14- Combined Electrification</v>
      </c>
    </row>
    <row r="380" spans="1:2" x14ac:dyDescent="0.2">
      <c r="A380" s="6" t="str">
        <f t="shared" si="164"/>
        <v>14- Combined Electrification&amp;</v>
      </c>
      <c r="B380" s="6" t="str">
        <f>'Scenario List'!$A$16</f>
        <v>14- Combined Electrification</v>
      </c>
    </row>
    <row r="381" spans="1:2" x14ac:dyDescent="0.2">
      <c r="A381" s="6" t="str">
        <f t="shared" si="164"/>
        <v>14- Combined Electrification&amp;</v>
      </c>
      <c r="B381" s="6" t="str">
        <f>'Scenario List'!$A$16</f>
        <v>14- Combined Electrification</v>
      </c>
    </row>
    <row r="382" spans="1:2" x14ac:dyDescent="0.2">
      <c r="A382" s="6" t="str">
        <f t="shared" si="164"/>
        <v>14- Combined Electrification&amp;</v>
      </c>
      <c r="B382" s="6" t="str">
        <f>'Scenario List'!$A$16</f>
        <v>14- Combined Electrification</v>
      </c>
    </row>
    <row r="383" spans="1:2" x14ac:dyDescent="0.2">
      <c r="A383" s="6" t="str">
        <f t="shared" si="164"/>
        <v>14- Combined Electrification&amp;</v>
      </c>
      <c r="B383" s="6" t="str">
        <f>'Scenario List'!$A$16</f>
        <v>14- Combined Electrification</v>
      </c>
    </row>
    <row r="384" spans="1:2" x14ac:dyDescent="0.2">
      <c r="A384" s="6" t="str">
        <f t="shared" si="164"/>
        <v>14- Combined Electrification&amp;</v>
      </c>
      <c r="B384" s="6" t="str">
        <f>'Scenario List'!$A$16</f>
        <v>14- Combined Electrification</v>
      </c>
    </row>
    <row r="385" spans="1:94" x14ac:dyDescent="0.2">
      <c r="A385" s="6" t="str">
        <f t="shared" si="164"/>
        <v>14- Combined Electrification&amp;</v>
      </c>
      <c r="B385" s="6" t="str">
        <f>'Scenario List'!$A$16</f>
        <v>14- Combined Electrification</v>
      </c>
    </row>
    <row r="388" spans="1:94" x14ac:dyDescent="0.2">
      <c r="A388" s="6" t="str">
        <f t="shared" ref="A388:A412" si="165">B388&amp;"&amp;"&amp;C388</f>
        <v>15- Clean Portfolio by 2045&amp;</v>
      </c>
      <c r="B388" s="6" t="str">
        <f>'Scenario List'!$A$17</f>
        <v>15- Clean Portfolio by 2045</v>
      </c>
      <c r="D388" s="8">
        <v>652.82570906160402</v>
      </c>
      <c r="E388" s="8">
        <v>320.49001578316387</v>
      </c>
      <c r="F388" s="8">
        <v>973.31572484476783</v>
      </c>
      <c r="G388" s="8">
        <v>428.57990936482753</v>
      </c>
      <c r="H388" s="8">
        <v>129.92475520905668</v>
      </c>
      <c r="I388" s="8">
        <v>558.50466457388416</v>
      </c>
      <c r="J388" s="8">
        <v>0.11376170787909359</v>
      </c>
      <c r="K388" s="8">
        <v>0.10376457460692694</v>
      </c>
      <c r="L388" s="8">
        <v>1.4234598849913974E-13</v>
      </c>
      <c r="M388" s="8">
        <v>5.8361855284647294E-13</v>
      </c>
      <c r="N388" s="8">
        <v>0</v>
      </c>
      <c r="O388" s="8">
        <v>5.8264504332328215E-13</v>
      </c>
      <c r="P388" s="8">
        <v>2.646920458106508</v>
      </c>
      <c r="Q388" s="8">
        <v>3.0189758845214847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5738.5364656746351</v>
      </c>
      <c r="Y388" s="8">
        <v>3474.480313196209</v>
      </c>
      <c r="AA388" s="8">
        <v>660.33400198025095</v>
      </c>
      <c r="AB388" s="8">
        <v>324.24566191477567</v>
      </c>
      <c r="AC388" s="8">
        <v>984.57966389502667</v>
      </c>
      <c r="AD388" s="8">
        <v>440.57616447669903</v>
      </c>
      <c r="AE388" s="8">
        <v>133.68040134066848</v>
      </c>
      <c r="AF388" s="8">
        <v>574.25656581736757</v>
      </c>
      <c r="AG388" s="12">
        <v>0.11507010645137036</v>
      </c>
      <c r="AH388" s="12">
        <v>0.10498053455584626</v>
      </c>
      <c r="AI388" s="8">
        <v>2.5622277929845155E-13</v>
      </c>
      <c r="AJ388" s="8">
        <v>1.5658058734905374E-13</v>
      </c>
      <c r="AK388" s="8">
        <v>2.5579538487363607E-13</v>
      </c>
      <c r="AL388" s="8">
        <v>-1.5631940186722204E-13</v>
      </c>
      <c r="AM388" s="25">
        <v>2.7008660276865859</v>
      </c>
      <c r="AN388" s="25">
        <v>3.0729214541015626</v>
      </c>
      <c r="AO388" s="8">
        <v>0</v>
      </c>
      <c r="AP388" s="8">
        <v>0</v>
      </c>
      <c r="AQ388" s="8">
        <v>0</v>
      </c>
      <c r="AR388" s="8">
        <v>0</v>
      </c>
      <c r="AS388" s="8">
        <v>0</v>
      </c>
      <c r="AT388" s="8">
        <v>0</v>
      </c>
      <c r="AU388" s="8">
        <v>5738.5364656746351</v>
      </c>
      <c r="AV388" s="8">
        <v>3474.480313196209</v>
      </c>
      <c r="AX388" s="8">
        <v>641.8794899355114</v>
      </c>
      <c r="AY388" s="8">
        <v>314.62256292998131</v>
      </c>
      <c r="AZ388" s="8">
        <v>956.50205286549271</v>
      </c>
      <c r="BA388" s="8">
        <v>417.14668718853824</v>
      </c>
      <c r="BB388" s="8">
        <v>124.05730235587417</v>
      </c>
      <c r="BC388" s="8">
        <v>541.20398954441237</v>
      </c>
      <c r="BD388" s="8">
        <v>0.11185421470699858</v>
      </c>
      <c r="BE388" s="8">
        <v>0.10186487814415597</v>
      </c>
      <c r="BF388" s="8">
        <v>4.2703796549741926E-13</v>
      </c>
      <c r="BG388" s="8">
        <v>2.4198818044853759E-13</v>
      </c>
      <c r="BH388" s="8">
        <v>-4.2632564145606011E-13</v>
      </c>
      <c r="BI388" s="8">
        <v>2.4158453015843406E-13</v>
      </c>
      <c r="BJ388" s="8">
        <v>2.6453964681162736</v>
      </c>
      <c r="BK388" s="8">
        <v>3.0174518945312503</v>
      </c>
      <c r="BL388" s="8">
        <v>0</v>
      </c>
      <c r="BM388" s="8">
        <v>0</v>
      </c>
      <c r="BN388" s="8">
        <v>0</v>
      </c>
      <c r="BO388" s="8">
        <v>0</v>
      </c>
      <c r="BP388" s="8">
        <v>0</v>
      </c>
      <c r="BQ388" s="8">
        <v>0</v>
      </c>
      <c r="BR388" s="8">
        <v>5738.5364656746351</v>
      </c>
      <c r="BS388" s="8">
        <v>3474.480313196209</v>
      </c>
      <c r="BU388" s="8">
        <v>649.88020994301951</v>
      </c>
      <c r="BV388" s="8">
        <v>318.89728054753982</v>
      </c>
      <c r="BW388" s="8">
        <v>968.77749049055933</v>
      </c>
      <c r="BX388" s="8">
        <v>435.04301151092756</v>
      </c>
      <c r="BY388" s="8">
        <v>128.33201997343269</v>
      </c>
      <c r="BZ388" s="8">
        <v>563.37503148436031</v>
      </c>
      <c r="CA388" s="8">
        <v>0.11324842384993333</v>
      </c>
      <c r="CB388" s="8">
        <v>0.10324889709422148</v>
      </c>
      <c r="CC388" s="8">
        <v>5.9785315169638691E-13</v>
      </c>
      <c r="CD388" s="8">
        <v>4.5550716319724724E-13</v>
      </c>
      <c r="CE388" s="8">
        <v>-5.9685589803848416E-13</v>
      </c>
      <c r="CF388" s="8">
        <v>4.5474735088646412E-13</v>
      </c>
      <c r="CG388" s="8">
        <v>2.7647525616221329</v>
      </c>
      <c r="CH388" s="8">
        <v>3.1368079880371096</v>
      </c>
      <c r="CI388" s="8">
        <v>0</v>
      </c>
      <c r="CJ388" s="8">
        <v>0</v>
      </c>
      <c r="CK388" s="8">
        <v>0</v>
      </c>
      <c r="CL388" s="8">
        <v>0</v>
      </c>
      <c r="CM388" s="8">
        <v>0</v>
      </c>
      <c r="CN388" s="8">
        <v>0</v>
      </c>
      <c r="CO388" s="8">
        <v>5738.5364656746351</v>
      </c>
      <c r="CP388" s="8">
        <v>3474.480313196209</v>
      </c>
    </row>
    <row r="389" spans="1:94" x14ac:dyDescent="0.2">
      <c r="A389" s="6" t="str">
        <f t="shared" si="165"/>
        <v>15- Clean Portfolio by 2045&amp;</v>
      </c>
      <c r="B389" s="6" t="str">
        <f>'Scenario List'!$A$17</f>
        <v>15- Clean Portfolio by 2045</v>
      </c>
      <c r="D389" s="8">
        <v>655.79115341363411</v>
      </c>
      <c r="E389" s="8">
        <v>320.63528228105019</v>
      </c>
      <c r="F389" s="8">
        <v>976.4264356946843</v>
      </c>
      <c r="G389" s="8">
        <v>429.35603930065014</v>
      </c>
      <c r="H389" s="8">
        <v>125.66468904574894</v>
      </c>
      <c r="I389" s="8">
        <v>555.0207283463991</v>
      </c>
      <c r="J389" s="8">
        <v>0.11327368939365051</v>
      </c>
      <c r="K389" s="8">
        <v>0.10351507014124579</v>
      </c>
      <c r="L389" s="8">
        <v>6.4055694824612891E-13</v>
      </c>
      <c r="M389" s="8">
        <v>2.2775358159862362E-13</v>
      </c>
      <c r="N389" s="8">
        <v>6.3948846218409017E-13</v>
      </c>
      <c r="O389" s="8">
        <v>2.2737367544323206E-13</v>
      </c>
      <c r="P389" s="8">
        <v>2.6335296301103019</v>
      </c>
      <c r="Q389" s="8">
        <v>3.1475543693847658</v>
      </c>
      <c r="R389" s="8">
        <v>1.0380200044495549E-2</v>
      </c>
      <c r="S389" s="8">
        <v>0</v>
      </c>
      <c r="T389" s="8">
        <v>0.1141608509788196</v>
      </c>
      <c r="U389" s="8">
        <v>0</v>
      </c>
      <c r="V389" s="8">
        <v>0.99755157390180149</v>
      </c>
      <c r="W389" s="8">
        <v>0</v>
      </c>
      <c r="X389" s="8">
        <v>5789.4393386854235</v>
      </c>
      <c r="Y389" s="8">
        <v>3485.2347141929699</v>
      </c>
      <c r="AA389" s="8">
        <v>666.79650528547222</v>
      </c>
      <c r="AB389" s="8">
        <v>326.17937480219837</v>
      </c>
      <c r="AC389" s="8">
        <v>992.97588008767059</v>
      </c>
      <c r="AD389" s="8">
        <v>439.42219768741876</v>
      </c>
      <c r="AE389" s="8">
        <v>131.20878156689707</v>
      </c>
      <c r="AF389" s="8">
        <v>570.63097925431589</v>
      </c>
      <c r="AG389" s="12">
        <v>0.11517462508500488</v>
      </c>
      <c r="AH389" s="12">
        <v>0.10530494529819488</v>
      </c>
      <c r="AI389" s="8">
        <v>2.5622277929845155E-13</v>
      </c>
      <c r="AJ389" s="8">
        <v>7.1172994249569872E-14</v>
      </c>
      <c r="AK389" s="8">
        <v>2.5579538487363607E-13</v>
      </c>
      <c r="AL389" s="8">
        <v>0</v>
      </c>
      <c r="AM389" s="25">
        <v>2.6069249784989736</v>
      </c>
      <c r="AN389" s="25">
        <v>3.1209497177734375</v>
      </c>
      <c r="AO389" s="8">
        <v>1.0380200044495549E-2</v>
      </c>
      <c r="AP389" s="8">
        <v>0</v>
      </c>
      <c r="AQ389" s="8">
        <v>0.1141608509788196</v>
      </c>
      <c r="AR389" s="8">
        <v>0</v>
      </c>
      <c r="AS389" s="8">
        <v>0.99329329999411875</v>
      </c>
      <c r="AT389" s="8">
        <v>0</v>
      </c>
      <c r="AU389" s="8">
        <v>5789.4393386854235</v>
      </c>
      <c r="AV389" s="8">
        <v>3485.2347141929699</v>
      </c>
      <c r="AX389" s="8">
        <v>649.66890676629987</v>
      </c>
      <c r="AY389" s="8">
        <v>317.49896813707397</v>
      </c>
      <c r="AZ389" s="8">
        <v>967.16787490337379</v>
      </c>
      <c r="BA389" s="8">
        <v>416.10119198751431</v>
      </c>
      <c r="BB389" s="8">
        <v>122.52837490177274</v>
      </c>
      <c r="BC389" s="8">
        <v>538.62956688928705</v>
      </c>
      <c r="BD389" s="8">
        <v>0.11221620415385795</v>
      </c>
      <c r="BE389" s="8">
        <v>0.1025025309837051</v>
      </c>
      <c r="BF389" s="8">
        <v>2.8469197699827949E-13</v>
      </c>
      <c r="BG389" s="8">
        <v>3.9856876779759127E-13</v>
      </c>
      <c r="BH389" s="8">
        <v>2.8421709430404007E-13</v>
      </c>
      <c r="BI389" s="8">
        <v>-3.979039320256561E-13</v>
      </c>
      <c r="BJ389" s="8">
        <v>2.5426203273759271</v>
      </c>
      <c r="BK389" s="8">
        <v>3.056645066650391</v>
      </c>
      <c r="BL389" s="8">
        <v>1.0380200044495549E-2</v>
      </c>
      <c r="BM389" s="8">
        <v>0</v>
      </c>
      <c r="BN389" s="8">
        <v>0.1141608509788196</v>
      </c>
      <c r="BO389" s="8">
        <v>0</v>
      </c>
      <c r="BP389" s="8">
        <v>0.97669755651614587</v>
      </c>
      <c r="BQ389" s="8">
        <v>0</v>
      </c>
      <c r="BR389" s="8">
        <v>5789.4393386854235</v>
      </c>
      <c r="BS389" s="8">
        <v>3485.2347141929699</v>
      </c>
      <c r="BU389" s="8">
        <v>660.46300723309514</v>
      </c>
      <c r="BV389" s="8">
        <v>323.32287072744128</v>
      </c>
      <c r="BW389" s="8">
        <v>983.78587796053648</v>
      </c>
      <c r="BX389" s="8">
        <v>434.89872579826476</v>
      </c>
      <c r="BY389" s="8">
        <v>128.35227749214005</v>
      </c>
      <c r="BZ389" s="8">
        <v>563.25100329040481</v>
      </c>
      <c r="CA389" s="8">
        <v>0.11408065074969123</v>
      </c>
      <c r="CB389" s="8">
        <v>0.10438274104932482</v>
      </c>
      <c r="CC389" s="8">
        <v>8.5407593099483852E-13</v>
      </c>
      <c r="CD389" s="8">
        <v>5.9785315169638691E-13</v>
      </c>
      <c r="CE389" s="8">
        <v>-8.5265128291212022E-13</v>
      </c>
      <c r="CF389" s="8">
        <v>-5.9685589803848416E-13</v>
      </c>
      <c r="CG389" s="8">
        <v>2.6310392409501455</v>
      </c>
      <c r="CH389" s="8">
        <v>3.1450639802246094</v>
      </c>
      <c r="CI389" s="8">
        <v>1.0380200044495549E-2</v>
      </c>
      <c r="CJ389" s="8">
        <v>0</v>
      </c>
      <c r="CK389" s="8">
        <v>0.1141608509788196</v>
      </c>
      <c r="CL389" s="8">
        <v>0</v>
      </c>
      <c r="CM389" s="8">
        <v>0.98767829065412271</v>
      </c>
      <c r="CN389" s="8">
        <v>0</v>
      </c>
      <c r="CO389" s="8">
        <v>5789.4393386854235</v>
      </c>
      <c r="CP389" s="8">
        <v>3485.2347141929699</v>
      </c>
    </row>
    <row r="390" spans="1:94" x14ac:dyDescent="0.2">
      <c r="A390" s="6" t="str">
        <f t="shared" si="165"/>
        <v>15- Clean Portfolio by 2045&amp;</v>
      </c>
      <c r="B390" s="6" t="str">
        <f>'Scenario List'!$A$17</f>
        <v>15- Clean Portfolio by 2045</v>
      </c>
      <c r="D390" s="8">
        <v>683.4188352566739</v>
      </c>
      <c r="E390" s="8">
        <v>330.46712131242094</v>
      </c>
      <c r="F390" s="8">
        <v>1013.8859565690948</v>
      </c>
      <c r="G390" s="8">
        <v>423.1369301929326</v>
      </c>
      <c r="H390" s="8">
        <v>127.95386689011389</v>
      </c>
      <c r="I390" s="8">
        <v>551.09079708304648</v>
      </c>
      <c r="J390" s="8">
        <v>0.11734310168441085</v>
      </c>
      <c r="K390" s="8">
        <v>0.10641357950295312</v>
      </c>
      <c r="L390" s="8">
        <v>2.2775358159862362E-13</v>
      </c>
      <c r="M390" s="8">
        <v>4.2703796549741926E-14</v>
      </c>
      <c r="N390" s="8">
        <v>2.2737367544323206E-13</v>
      </c>
      <c r="O390" s="8">
        <v>0</v>
      </c>
      <c r="P390" s="8">
        <v>2.3667071964613173</v>
      </c>
      <c r="Q390" s="8">
        <v>2.8186615239257815</v>
      </c>
      <c r="R390" s="8">
        <v>0.45467047553924272</v>
      </c>
      <c r="S390" s="8">
        <v>0</v>
      </c>
      <c r="T390" s="8">
        <v>0.55975956888743938</v>
      </c>
      <c r="U390" s="8">
        <v>0</v>
      </c>
      <c r="V390" s="8">
        <v>1.9995312874606799</v>
      </c>
      <c r="W390" s="8">
        <v>0</v>
      </c>
      <c r="X390" s="8">
        <v>5824.1074715640207</v>
      </c>
      <c r="Y390" s="8">
        <v>3496.5535389023948</v>
      </c>
      <c r="AA390" s="8">
        <v>690.81741152310599</v>
      </c>
      <c r="AB390" s="8">
        <v>333.942841912066</v>
      </c>
      <c r="AC390" s="8">
        <v>1024.760253435172</v>
      </c>
      <c r="AD390" s="8">
        <v>436.95616284292305</v>
      </c>
      <c r="AE390" s="8">
        <v>131.42958748975897</v>
      </c>
      <c r="AF390" s="8">
        <v>568.38575033268205</v>
      </c>
      <c r="AG390" s="12">
        <v>0.11861343817846688</v>
      </c>
      <c r="AH390" s="12">
        <v>0.1075327948393881</v>
      </c>
      <c r="AI390" s="8">
        <v>5.9785315169638691E-13</v>
      </c>
      <c r="AJ390" s="8">
        <v>4.5550716319724724E-13</v>
      </c>
      <c r="AK390" s="8">
        <v>5.9685589803848416E-13</v>
      </c>
      <c r="AL390" s="8">
        <v>4.5474735088646412E-13</v>
      </c>
      <c r="AM390" s="25">
        <v>2.4343371356703019</v>
      </c>
      <c r="AN390" s="25">
        <v>2.886291463134766</v>
      </c>
      <c r="AO390" s="8">
        <v>0.45467047553924272</v>
      </c>
      <c r="AP390" s="8">
        <v>0</v>
      </c>
      <c r="AQ390" s="8">
        <v>0.55975956888743938</v>
      </c>
      <c r="AR390" s="8">
        <v>0</v>
      </c>
      <c r="AS390" s="8">
        <v>2.0075749291507523</v>
      </c>
      <c r="AT390" s="8">
        <v>0</v>
      </c>
      <c r="AU390" s="8">
        <v>5824.1074715640207</v>
      </c>
      <c r="AV390" s="8">
        <v>3496.5535389023948</v>
      </c>
      <c r="AX390" s="8">
        <v>672.65503348307629</v>
      </c>
      <c r="AY390" s="8">
        <v>324.79343228385983</v>
      </c>
      <c r="AZ390" s="8">
        <v>997.44846576693612</v>
      </c>
      <c r="BA390" s="8">
        <v>408.37931250804291</v>
      </c>
      <c r="BB390" s="8">
        <v>122.2801778615528</v>
      </c>
      <c r="BC390" s="8">
        <v>530.65949036959569</v>
      </c>
      <c r="BD390" s="8">
        <v>0.11549495553907418</v>
      </c>
      <c r="BE390" s="8">
        <v>0.10458659727210955</v>
      </c>
      <c r="BF390" s="8">
        <v>5.8361855284647294E-13</v>
      </c>
      <c r="BG390" s="8">
        <v>1.4234598849913976E-14</v>
      </c>
      <c r="BH390" s="8">
        <v>5.8264504332328215E-13</v>
      </c>
      <c r="BI390" s="8">
        <v>0</v>
      </c>
      <c r="BJ390" s="8">
        <v>2.3248190323420732</v>
      </c>
      <c r="BK390" s="8">
        <v>2.7767733598065374</v>
      </c>
      <c r="BL390" s="8">
        <v>0.45467047553924272</v>
      </c>
      <c r="BM390" s="8">
        <v>0</v>
      </c>
      <c r="BN390" s="8">
        <v>0.55975956888743938</v>
      </c>
      <c r="BO390" s="8">
        <v>0</v>
      </c>
      <c r="BP390" s="8">
        <v>2.0208843689579878</v>
      </c>
      <c r="BQ390" s="8">
        <v>0</v>
      </c>
      <c r="BR390" s="8">
        <v>5824.1074715640207</v>
      </c>
      <c r="BS390" s="8">
        <v>3496.5535389023948</v>
      </c>
      <c r="BU390" s="8">
        <v>681.67292839013282</v>
      </c>
      <c r="BV390" s="8">
        <v>329.52145944106491</v>
      </c>
      <c r="BW390" s="8">
        <v>1011.1943878311977</v>
      </c>
      <c r="BX390" s="8">
        <v>433.63665489838928</v>
      </c>
      <c r="BY390" s="8">
        <v>127.00820501875785</v>
      </c>
      <c r="BZ390" s="8">
        <v>560.64485991714719</v>
      </c>
      <c r="CA390" s="8">
        <v>0.11704332925145604</v>
      </c>
      <c r="CB390" s="8">
        <v>0.106109067319318</v>
      </c>
      <c r="CC390" s="8">
        <v>5.1244555859690311E-13</v>
      </c>
      <c r="CD390" s="8">
        <v>3.7009957009776334E-13</v>
      </c>
      <c r="CE390" s="8">
        <v>-5.1159076974727213E-13</v>
      </c>
      <c r="CF390" s="8">
        <v>3.694822225952521E-13</v>
      </c>
      <c r="CG390" s="8">
        <v>2.5131883472834797</v>
      </c>
      <c r="CH390" s="8">
        <v>2.9651426747479439</v>
      </c>
      <c r="CI390" s="8">
        <v>0.45467047553924272</v>
      </c>
      <c r="CJ390" s="8">
        <v>0</v>
      </c>
      <c r="CK390" s="8">
        <v>0.55975956888743938</v>
      </c>
      <c r="CL390" s="8">
        <v>0</v>
      </c>
      <c r="CM390" s="8">
        <v>2.0004983228673723</v>
      </c>
      <c r="CN390" s="8">
        <v>0</v>
      </c>
      <c r="CO390" s="8">
        <v>5824.1074715640207</v>
      </c>
      <c r="CP390" s="8">
        <v>3496.5535389023948</v>
      </c>
    </row>
    <row r="391" spans="1:94" x14ac:dyDescent="0.2">
      <c r="A391" s="6" t="str">
        <f t="shared" si="165"/>
        <v>15- Clean Portfolio by 2045&amp;</v>
      </c>
      <c r="B391" s="6" t="str">
        <f>'Scenario List'!$A$17</f>
        <v>15- Clean Portfolio by 2045</v>
      </c>
      <c r="D391" s="8">
        <v>694.08897486871547</v>
      </c>
      <c r="E391" s="8">
        <v>341.15469233676492</v>
      </c>
      <c r="F391" s="8">
        <v>1035.2436672054805</v>
      </c>
      <c r="G391" s="8">
        <v>315.17959071398292</v>
      </c>
      <c r="H391" s="8">
        <v>130.7438312498532</v>
      </c>
      <c r="I391" s="8">
        <v>445.92342196383612</v>
      </c>
      <c r="J391" s="8">
        <v>0.11982394012661501</v>
      </c>
      <c r="K391" s="8">
        <v>0.11081941979423528</v>
      </c>
      <c r="L391" s="8">
        <v>7.4019914019552668E-13</v>
      </c>
      <c r="M391" s="8">
        <v>6.4055694824612891E-13</v>
      </c>
      <c r="N391" s="8">
        <v>-7.3896444519050419E-13</v>
      </c>
      <c r="O391" s="8">
        <v>-6.3948846218409017E-13</v>
      </c>
      <c r="P391" s="8">
        <v>1.3487123916064678</v>
      </c>
      <c r="Q391" s="8">
        <v>1.4832570693359375</v>
      </c>
      <c r="R391" s="8">
        <v>1.4307627098382936</v>
      </c>
      <c r="S391" s="8">
        <v>0</v>
      </c>
      <c r="T391" s="8">
        <v>1.5898481240728615</v>
      </c>
      <c r="U391" s="8">
        <v>0</v>
      </c>
      <c r="V391" s="8">
        <v>2.9508039949498617</v>
      </c>
      <c r="W391" s="8">
        <v>0</v>
      </c>
      <c r="X391" s="8">
        <v>5792.5734551483511</v>
      </c>
      <c r="Y391" s="8">
        <v>3470.832862483795</v>
      </c>
      <c r="AA391" s="8">
        <v>706.54673937291705</v>
      </c>
      <c r="AB391" s="8">
        <v>347.33885274664738</v>
      </c>
      <c r="AC391" s="8">
        <v>1053.8855921195645</v>
      </c>
      <c r="AD391" s="8">
        <v>323.91001283710034</v>
      </c>
      <c r="AE391" s="8">
        <v>136.92799165973562</v>
      </c>
      <c r="AF391" s="8">
        <v>460.83800449683599</v>
      </c>
      <c r="AG391" s="12">
        <v>0.1219745843265827</v>
      </c>
      <c r="AH391" s="12">
        <v>0.112828259431889</v>
      </c>
      <c r="AI391" s="8">
        <v>4.5550716319724724E-13</v>
      </c>
      <c r="AJ391" s="8">
        <v>3.1316117469810747E-13</v>
      </c>
      <c r="AK391" s="8">
        <v>-4.5474735088646412E-13</v>
      </c>
      <c r="AL391" s="8">
        <v>-3.1263880373444408E-13</v>
      </c>
      <c r="AM391" s="25">
        <v>1.2913064577685771</v>
      </c>
      <c r="AN391" s="25">
        <v>1.4258511354980468</v>
      </c>
      <c r="AO391" s="8">
        <v>1.4307627098382936</v>
      </c>
      <c r="AP391" s="8">
        <v>0</v>
      </c>
      <c r="AQ391" s="8">
        <v>1.5898481240728615</v>
      </c>
      <c r="AR391" s="8">
        <v>0</v>
      </c>
      <c r="AS391" s="8">
        <v>3.0190319325206696</v>
      </c>
      <c r="AT391" s="8">
        <v>0</v>
      </c>
      <c r="AU391" s="8">
        <v>5792.5734551483511</v>
      </c>
      <c r="AV391" s="8">
        <v>3470.832862483795</v>
      </c>
      <c r="AX391" s="8">
        <v>661.80568143708865</v>
      </c>
      <c r="AY391" s="8">
        <v>323.94221930812262</v>
      </c>
      <c r="AZ391" s="8">
        <v>985.74790074521127</v>
      </c>
      <c r="BA391" s="8">
        <v>289.26343585567929</v>
      </c>
      <c r="BB391" s="8">
        <v>113.53135822121091</v>
      </c>
      <c r="BC391" s="8">
        <v>402.79479407689018</v>
      </c>
      <c r="BD391" s="8">
        <v>0.11425071888365712</v>
      </c>
      <c r="BE391" s="8">
        <v>0.10522818415508091</v>
      </c>
      <c r="BF391" s="8">
        <v>1.8504978504888167E-13</v>
      </c>
      <c r="BG391" s="8">
        <v>1.8504978504888167E-13</v>
      </c>
      <c r="BH391" s="8">
        <v>-1.8474111129762605E-13</v>
      </c>
      <c r="BI391" s="8">
        <v>1.8474111129762605E-13</v>
      </c>
      <c r="BJ391" s="8">
        <v>1.4431847631884991</v>
      </c>
      <c r="BK391" s="8">
        <v>1.5777294409179687</v>
      </c>
      <c r="BL391" s="8">
        <v>1.4307627098382936</v>
      </c>
      <c r="BM391" s="8">
        <v>0</v>
      </c>
      <c r="BN391" s="8">
        <v>1.5898481240728615</v>
      </c>
      <c r="BO391" s="8">
        <v>0</v>
      </c>
      <c r="BP391" s="8">
        <v>3.0145436178832083</v>
      </c>
      <c r="BQ391" s="8">
        <v>0</v>
      </c>
      <c r="BR391" s="8">
        <v>5792.5734551483511</v>
      </c>
      <c r="BS391" s="8">
        <v>3470.832862483795</v>
      </c>
      <c r="BU391" s="8">
        <v>692.92104243829147</v>
      </c>
      <c r="BV391" s="8">
        <v>340.47698284758872</v>
      </c>
      <c r="BW391" s="8">
        <v>1033.3980252858801</v>
      </c>
      <c r="BX391" s="8">
        <v>312.17191847164122</v>
      </c>
      <c r="BY391" s="8">
        <v>130.06612176067699</v>
      </c>
      <c r="BZ391" s="8">
        <v>442.23804023231821</v>
      </c>
      <c r="CA391" s="8">
        <v>0.11962231429666788</v>
      </c>
      <c r="CB391" s="8">
        <v>0.11059927516757008</v>
      </c>
      <c r="CC391" s="8">
        <v>5.4091475629673104E-13</v>
      </c>
      <c r="CD391" s="8">
        <v>3.4163037239793541E-13</v>
      </c>
      <c r="CE391" s="8">
        <v>5.4001247917767614E-13</v>
      </c>
      <c r="CF391" s="8">
        <v>-3.4106051316484809E-13</v>
      </c>
      <c r="CG391" s="8">
        <v>1.3224747827197489</v>
      </c>
      <c r="CH391" s="8">
        <v>1.4570194604492186</v>
      </c>
      <c r="CI391" s="8">
        <v>1.4307627098382936</v>
      </c>
      <c r="CJ391" s="8">
        <v>0</v>
      </c>
      <c r="CK391" s="8">
        <v>1.5898481240728615</v>
      </c>
      <c r="CL391" s="8">
        <v>0</v>
      </c>
      <c r="CM391" s="8">
        <v>3.0048112556803495</v>
      </c>
      <c r="CN391" s="8">
        <v>0</v>
      </c>
      <c r="CO391" s="8">
        <v>5792.5734551483511</v>
      </c>
      <c r="CP391" s="8">
        <v>3470.832862483795</v>
      </c>
    </row>
    <row r="392" spans="1:94" x14ac:dyDescent="0.2">
      <c r="A392" s="6" t="str">
        <f t="shared" si="165"/>
        <v>15- Clean Portfolio by 2045&amp;</v>
      </c>
      <c r="B392" s="6" t="str">
        <f>'Scenario List'!$A$17</f>
        <v>15- Clean Portfolio by 2045</v>
      </c>
      <c r="D392" s="8">
        <v>712.38192321335964</v>
      </c>
      <c r="E392" s="8">
        <v>344.787811224704</v>
      </c>
      <c r="F392" s="8">
        <v>1057.1697344380636</v>
      </c>
      <c r="G392" s="8">
        <v>318.12215046324633</v>
      </c>
      <c r="H392" s="8">
        <v>126.06237489702903</v>
      </c>
      <c r="I392" s="8">
        <v>444.18452536027536</v>
      </c>
      <c r="J392" s="8">
        <v>0.12218433111065098</v>
      </c>
      <c r="K392" s="8">
        <v>0.11126639482644192</v>
      </c>
      <c r="L392" s="8">
        <v>4.8397636089707518E-13</v>
      </c>
      <c r="M392" s="8">
        <v>3.8433416894767731E-13</v>
      </c>
      <c r="N392" s="8">
        <v>-4.8316906031686813E-13</v>
      </c>
      <c r="O392" s="8">
        <v>3.836930773104541E-13</v>
      </c>
      <c r="P392" s="8">
        <v>1.6066551643005236</v>
      </c>
      <c r="Q392" s="8">
        <v>1.5073329108886719</v>
      </c>
      <c r="R392" s="8">
        <v>3.1283509710090693</v>
      </c>
      <c r="S392" s="8">
        <v>0</v>
      </c>
      <c r="T392" s="8">
        <v>3.3425748974627778</v>
      </c>
      <c r="U392" s="8">
        <v>0</v>
      </c>
      <c r="V392" s="8">
        <v>4.2072999610671564</v>
      </c>
      <c r="W392" s="8">
        <v>0</v>
      </c>
      <c r="X392" s="8">
        <v>5830.386897712945</v>
      </c>
      <c r="Y392" s="8">
        <v>3490.0365603218615</v>
      </c>
      <c r="AA392" s="8">
        <v>727.05602914002998</v>
      </c>
      <c r="AB392" s="8">
        <v>352.2989475491151</v>
      </c>
      <c r="AC392" s="8">
        <v>1079.3549766891451</v>
      </c>
      <c r="AD392" s="8">
        <v>325.44392959697586</v>
      </c>
      <c r="AE392" s="8">
        <v>133.57351122144016</v>
      </c>
      <c r="AF392" s="8">
        <v>459.01744081841605</v>
      </c>
      <c r="AG392" s="12">
        <v>0.12470116338681202</v>
      </c>
      <c r="AH392" s="12">
        <v>0.1136903118927053</v>
      </c>
      <c r="AI392" s="8">
        <v>5.1244555859690311E-13</v>
      </c>
      <c r="AJ392" s="8">
        <v>5.9785315169638691E-13</v>
      </c>
      <c r="AK392" s="8">
        <v>5.1159076974727213E-13</v>
      </c>
      <c r="AL392" s="8">
        <v>5.9685589803848416E-13</v>
      </c>
      <c r="AM392" s="25">
        <v>1.5038607576843128</v>
      </c>
      <c r="AN392" s="25">
        <v>1.4045385042724612</v>
      </c>
      <c r="AO392" s="8">
        <v>3.1283509710090693</v>
      </c>
      <c r="AP392" s="8">
        <v>0</v>
      </c>
      <c r="AQ392" s="8">
        <v>3.3425748974627778</v>
      </c>
      <c r="AR392" s="8">
        <v>0</v>
      </c>
      <c r="AS392" s="8">
        <v>4.1750004091462882</v>
      </c>
      <c r="AT392" s="8">
        <v>0</v>
      </c>
      <c r="AU392" s="8">
        <v>5830.386897712945</v>
      </c>
      <c r="AV392" s="8">
        <v>3490.0365603218615</v>
      </c>
      <c r="AX392" s="8">
        <v>683.94242494491186</v>
      </c>
      <c r="AY392" s="8">
        <v>329.68756711409208</v>
      </c>
      <c r="AZ392" s="8">
        <v>1013.6299920590039</v>
      </c>
      <c r="BA392" s="8">
        <v>294.84025367797904</v>
      </c>
      <c r="BB392" s="8">
        <v>110.96213078641716</v>
      </c>
      <c r="BC392" s="8">
        <v>405.8023844643962</v>
      </c>
      <c r="BD392" s="8">
        <v>0.11730652475450615</v>
      </c>
      <c r="BE392" s="8">
        <v>0.10639339854151229</v>
      </c>
      <c r="BF392" s="8">
        <v>1.1387679079931181E-13</v>
      </c>
      <c r="BG392" s="8">
        <v>4.4127256434733322E-13</v>
      </c>
      <c r="BH392" s="8">
        <v>-1.1368683772161603E-13</v>
      </c>
      <c r="BI392" s="8">
        <v>4.4053649617126212E-13</v>
      </c>
      <c r="BJ392" s="8">
        <v>1.684083027825914</v>
      </c>
      <c r="BK392" s="8">
        <v>1.5847607744140624</v>
      </c>
      <c r="BL392" s="8">
        <v>3.1283509710090693</v>
      </c>
      <c r="BM392" s="8">
        <v>0</v>
      </c>
      <c r="BN392" s="8">
        <v>3.3425748974627778</v>
      </c>
      <c r="BO392" s="8">
        <v>0</v>
      </c>
      <c r="BP392" s="8">
        <v>4.1998260828886274</v>
      </c>
      <c r="BQ392" s="8">
        <v>0</v>
      </c>
      <c r="BR392" s="8">
        <v>5830.386897712945</v>
      </c>
      <c r="BS392" s="8">
        <v>3490.0365603218615</v>
      </c>
      <c r="BU392" s="8">
        <v>715.29440861195224</v>
      </c>
      <c r="BV392" s="8">
        <v>346.28677772626776</v>
      </c>
      <c r="BW392" s="8">
        <v>1061.58118633822</v>
      </c>
      <c r="BX392" s="8">
        <v>313.24091461202323</v>
      </c>
      <c r="BY392" s="8">
        <v>127.56134139859283</v>
      </c>
      <c r="BZ392" s="8">
        <v>440.80225601061608</v>
      </c>
      <c r="CA392" s="8">
        <v>0.12268386663885668</v>
      </c>
      <c r="CB392" s="8">
        <v>0.11175012595951817</v>
      </c>
      <c r="CC392" s="8">
        <v>4.5550716319724724E-13</v>
      </c>
      <c r="CD392" s="8">
        <v>4.6974176204716121E-13</v>
      </c>
      <c r="CE392" s="8">
        <v>-4.5474735088646412E-13</v>
      </c>
      <c r="CF392" s="8">
        <v>-4.6895820560166612E-13</v>
      </c>
      <c r="CG392" s="8">
        <v>1.5045529940124378</v>
      </c>
      <c r="CH392" s="8">
        <v>1.4052307406005862</v>
      </c>
      <c r="CI392" s="8">
        <v>3.1283509710090693</v>
      </c>
      <c r="CJ392" s="8">
        <v>0</v>
      </c>
      <c r="CK392" s="8">
        <v>3.3425748974627778</v>
      </c>
      <c r="CL392" s="8">
        <v>0</v>
      </c>
      <c r="CM392" s="8">
        <v>4.1747892728296767</v>
      </c>
      <c r="CN392" s="8">
        <v>0</v>
      </c>
      <c r="CO392" s="8">
        <v>5830.386897712945</v>
      </c>
      <c r="CP392" s="8">
        <v>3490.0365603218615</v>
      </c>
    </row>
    <row r="393" spans="1:94" x14ac:dyDescent="0.2">
      <c r="A393" s="6" t="str">
        <f t="shared" si="165"/>
        <v>15- Clean Portfolio by 2045&amp;</v>
      </c>
      <c r="B393" s="6" t="str">
        <f>'Scenario List'!$A$17</f>
        <v>15- Clean Portfolio by 2045</v>
      </c>
      <c r="D393" s="8">
        <v>741.66647234300069</v>
      </c>
      <c r="E393" s="8">
        <v>354.89151461959318</v>
      </c>
      <c r="F393" s="8">
        <v>1096.557986962594</v>
      </c>
      <c r="G393" s="8">
        <v>320.7448567991151</v>
      </c>
      <c r="H393" s="8">
        <v>127.52166035153637</v>
      </c>
      <c r="I393" s="8">
        <v>448.26651715065145</v>
      </c>
      <c r="J393" s="8">
        <v>0.1263513590596092</v>
      </c>
      <c r="K393" s="8">
        <v>0.11382022237936232</v>
      </c>
      <c r="L393" s="8">
        <v>0</v>
      </c>
      <c r="M393" s="8">
        <v>2.7045737814836552E-13</v>
      </c>
      <c r="N393" s="8">
        <v>0</v>
      </c>
      <c r="O393" s="8">
        <v>-2.7000623958883807E-13</v>
      </c>
      <c r="P393" s="8">
        <v>1.5743501445683146</v>
      </c>
      <c r="Q393" s="8">
        <v>1.4196819521484376</v>
      </c>
      <c r="R393" s="8">
        <v>3.7086057963520349</v>
      </c>
      <c r="S393" s="8">
        <v>0</v>
      </c>
      <c r="T393" s="8">
        <v>3.978472245576107</v>
      </c>
      <c r="U393" s="8">
        <v>0</v>
      </c>
      <c r="V393" s="8">
        <v>5.2623249117244937</v>
      </c>
      <c r="W393" s="8">
        <v>0</v>
      </c>
      <c r="X393" s="8">
        <v>5869.8733267530761</v>
      </c>
      <c r="Y393" s="8">
        <v>3507.5538555479866</v>
      </c>
      <c r="AA393" s="8">
        <v>755.88724503824471</v>
      </c>
      <c r="AB393" s="8">
        <v>362.1340244050387</v>
      </c>
      <c r="AC393" s="8">
        <v>1118.0212694432835</v>
      </c>
      <c r="AD393" s="8">
        <v>327.23424483024809</v>
      </c>
      <c r="AE393" s="8">
        <v>134.76417013698187</v>
      </c>
      <c r="AF393" s="8">
        <v>461.99841496722996</v>
      </c>
      <c r="AG393" s="12">
        <v>0.12877403019808678</v>
      </c>
      <c r="AH393" s="12">
        <v>0.1161430281958038</v>
      </c>
      <c r="AI393" s="8">
        <v>6.5479154709604278E-13</v>
      </c>
      <c r="AJ393" s="8">
        <v>6.9749534364578478E-13</v>
      </c>
      <c r="AK393" s="8">
        <v>6.5369931689929217E-13</v>
      </c>
      <c r="AL393" s="8">
        <v>-6.9633188104489818E-13</v>
      </c>
      <c r="AM393" s="25">
        <v>1.4670091322392129</v>
      </c>
      <c r="AN393" s="25">
        <v>1.312340939819336</v>
      </c>
      <c r="AO393" s="8">
        <v>3.7086057963520349</v>
      </c>
      <c r="AP393" s="8">
        <v>0</v>
      </c>
      <c r="AQ393" s="8">
        <v>3.978472245576107</v>
      </c>
      <c r="AR393" s="8">
        <v>0</v>
      </c>
      <c r="AS393" s="8">
        <v>5.417376642876345</v>
      </c>
      <c r="AT393" s="8">
        <v>0</v>
      </c>
      <c r="AU393" s="8">
        <v>5869.8733267530761</v>
      </c>
      <c r="AV393" s="8">
        <v>3507.5538555479866</v>
      </c>
      <c r="AX393" s="8">
        <v>710.74113446363629</v>
      </c>
      <c r="AY393" s="8">
        <v>338.42150995829599</v>
      </c>
      <c r="AZ393" s="8">
        <v>1049.1626444219323</v>
      </c>
      <c r="BA393" s="8">
        <v>295.85399745560778</v>
      </c>
      <c r="BB393" s="8">
        <v>111.05165569023917</v>
      </c>
      <c r="BC393" s="8">
        <v>406.90565314584694</v>
      </c>
      <c r="BD393" s="8">
        <v>0.12108287434829249</v>
      </c>
      <c r="BE393" s="8">
        <v>0.1085379895957823</v>
      </c>
      <c r="BF393" s="8">
        <v>2.1351898274870963E-13</v>
      </c>
      <c r="BG393" s="8">
        <v>3.1316117469810747E-13</v>
      </c>
      <c r="BH393" s="8">
        <v>2.1316282072803006E-13</v>
      </c>
      <c r="BI393" s="8">
        <v>3.1263880373444408E-13</v>
      </c>
      <c r="BJ393" s="8">
        <v>1.6602719486890933</v>
      </c>
      <c r="BK393" s="8">
        <v>1.5056037562692164</v>
      </c>
      <c r="BL393" s="8">
        <v>3.7086057963520349</v>
      </c>
      <c r="BM393" s="8">
        <v>0</v>
      </c>
      <c r="BN393" s="8">
        <v>3.978472245576107</v>
      </c>
      <c r="BO393" s="8">
        <v>0</v>
      </c>
      <c r="BP393" s="8">
        <v>5.2936627819822331</v>
      </c>
      <c r="BQ393" s="8">
        <v>0</v>
      </c>
      <c r="BR393" s="8">
        <v>5869.8733267530761</v>
      </c>
      <c r="BS393" s="8">
        <v>3507.5538555479866</v>
      </c>
      <c r="BU393" s="8">
        <v>742.66623069435275</v>
      </c>
      <c r="BV393" s="8">
        <v>355.34828398414686</v>
      </c>
      <c r="BW393" s="8">
        <v>1098.0145146784996</v>
      </c>
      <c r="BX393" s="8">
        <v>314.2735974021989</v>
      </c>
      <c r="BY393" s="8">
        <v>127.97842971609005</v>
      </c>
      <c r="BZ393" s="8">
        <v>442.25202711828894</v>
      </c>
      <c r="CA393" s="8">
        <v>0.12652167931963856</v>
      </c>
      <c r="CB393" s="8">
        <v>0.11396671669807069</v>
      </c>
      <c r="CC393" s="8">
        <v>2.8469197699827949E-13</v>
      </c>
      <c r="CD393" s="8">
        <v>3.2739577354802139E-13</v>
      </c>
      <c r="CE393" s="8">
        <v>-2.8421709430404007E-13</v>
      </c>
      <c r="CF393" s="8">
        <v>3.2684965844964609E-13</v>
      </c>
      <c r="CG393" s="8">
        <v>1.4797872562626506</v>
      </c>
      <c r="CH393" s="8">
        <v>1.3251190638427734</v>
      </c>
      <c r="CI393" s="8">
        <v>3.7086057963520349</v>
      </c>
      <c r="CJ393" s="8">
        <v>0</v>
      </c>
      <c r="CK393" s="8">
        <v>3.978472245576107</v>
      </c>
      <c r="CL393" s="8">
        <v>0</v>
      </c>
      <c r="CM393" s="8">
        <v>5.3840527155213991</v>
      </c>
      <c r="CN393" s="8">
        <v>0</v>
      </c>
      <c r="CO393" s="8">
        <v>5869.8733267530761</v>
      </c>
      <c r="CP393" s="8">
        <v>3507.5538555479866</v>
      </c>
    </row>
    <row r="394" spans="1:94" x14ac:dyDescent="0.2">
      <c r="A394" s="6" t="str">
        <f t="shared" si="165"/>
        <v>15- Clean Portfolio by 2045&amp;</v>
      </c>
      <c r="B394" s="6" t="str">
        <f>'Scenario List'!$A$17</f>
        <v>15- Clean Portfolio by 2045</v>
      </c>
      <c r="D394" s="8">
        <v>761.2723412534308</v>
      </c>
      <c r="E394" s="8">
        <v>362.78471991408821</v>
      </c>
      <c r="F394" s="8">
        <v>1124.0570611675189</v>
      </c>
      <c r="G394" s="8">
        <v>321.11025458209184</v>
      </c>
      <c r="H394" s="8">
        <v>126.41005748898047</v>
      </c>
      <c r="I394" s="8">
        <v>447.52031207107234</v>
      </c>
      <c r="J394" s="8">
        <v>0.12891088069228937</v>
      </c>
      <c r="K394" s="8">
        <v>0.11554358584176735</v>
      </c>
      <c r="L394" s="8">
        <v>3.9856876779759127E-13</v>
      </c>
      <c r="M394" s="8">
        <v>6.1208775054630098E-13</v>
      </c>
      <c r="N394" s="8">
        <v>-3.979039320256561E-13</v>
      </c>
      <c r="O394" s="8">
        <v>6.1106675275368616E-13</v>
      </c>
      <c r="P394" s="8">
        <v>1.6112416571576922</v>
      </c>
      <c r="Q394" s="8">
        <v>1.438779050048828</v>
      </c>
      <c r="R394" s="8">
        <v>3.8710158394504672</v>
      </c>
      <c r="S394" s="8">
        <v>0</v>
      </c>
      <c r="T394" s="8">
        <v>4.1990773511035089</v>
      </c>
      <c r="U394" s="8">
        <v>0</v>
      </c>
      <c r="V394" s="8">
        <v>6.5825184474540084</v>
      </c>
      <c r="W394" s="8">
        <v>0</v>
      </c>
      <c r="X394" s="8">
        <v>5905.4157194891095</v>
      </c>
      <c r="Y394" s="8">
        <v>3527.216755749836</v>
      </c>
      <c r="AA394" s="8">
        <v>776.99768629964638</v>
      </c>
      <c r="AB394" s="8">
        <v>370.92251956568253</v>
      </c>
      <c r="AC394" s="8">
        <v>1147.9202058653289</v>
      </c>
      <c r="AD394" s="8">
        <v>325.84359293359051</v>
      </c>
      <c r="AE394" s="8">
        <v>134.54785714057479</v>
      </c>
      <c r="AF394" s="8">
        <v>460.39145007416528</v>
      </c>
      <c r="AG394" s="12">
        <v>0.13157374911564501</v>
      </c>
      <c r="AH394" s="12">
        <v>0.11813539994250942</v>
      </c>
      <c r="AI394" s="8">
        <v>1.4234598849913974E-13</v>
      </c>
      <c r="AJ394" s="8">
        <v>8.5407593099483852E-13</v>
      </c>
      <c r="AK394" s="8">
        <v>0</v>
      </c>
      <c r="AL394" s="8">
        <v>-8.5265128291212022E-13</v>
      </c>
      <c r="AM394" s="25">
        <v>1.4661639343793722</v>
      </c>
      <c r="AN394" s="25">
        <v>1.293701327270508</v>
      </c>
      <c r="AO394" s="8">
        <v>3.8710158394504672</v>
      </c>
      <c r="AP394" s="8">
        <v>0</v>
      </c>
      <c r="AQ394" s="8">
        <v>4.1990773511035089</v>
      </c>
      <c r="AR394" s="8">
        <v>0</v>
      </c>
      <c r="AS394" s="8">
        <v>6.6219542290810889</v>
      </c>
      <c r="AT394" s="8">
        <v>0</v>
      </c>
      <c r="AU394" s="8">
        <v>5905.4157194891095</v>
      </c>
      <c r="AV394" s="8">
        <v>3527.216755749836</v>
      </c>
      <c r="AX394" s="8">
        <v>731.81277043106843</v>
      </c>
      <c r="AY394" s="8">
        <v>347.0153923878803</v>
      </c>
      <c r="AZ394" s="8">
        <v>1078.8281628189488</v>
      </c>
      <c r="BA394" s="8">
        <v>299.01472205505888</v>
      </c>
      <c r="BB394" s="8">
        <v>110.64072996277258</v>
      </c>
      <c r="BC394" s="8">
        <v>409.65545201783146</v>
      </c>
      <c r="BD394" s="8">
        <v>0.12392231219487782</v>
      </c>
      <c r="BE394" s="8">
        <v>0.1105212005298313</v>
      </c>
      <c r="BF394" s="8">
        <v>2.7045737814836552E-13</v>
      </c>
      <c r="BG394" s="8">
        <v>1.2811138964922578E-13</v>
      </c>
      <c r="BH394" s="8">
        <v>-2.7000623958883807E-13</v>
      </c>
      <c r="BI394" s="8">
        <v>-1.2789769243681803E-13</v>
      </c>
      <c r="BJ394" s="8">
        <v>1.7078349782026143</v>
      </c>
      <c r="BK394" s="8">
        <v>1.5353723710937501</v>
      </c>
      <c r="BL394" s="8">
        <v>3.8710158394504672</v>
      </c>
      <c r="BM394" s="8">
        <v>0</v>
      </c>
      <c r="BN394" s="8">
        <v>4.1990773511035089</v>
      </c>
      <c r="BO394" s="8">
        <v>0</v>
      </c>
      <c r="BP394" s="8">
        <v>6.5013700455927736</v>
      </c>
      <c r="BQ394" s="8">
        <v>0</v>
      </c>
      <c r="BR394" s="8">
        <v>5905.4157194891095</v>
      </c>
      <c r="BS394" s="8">
        <v>3527.216755749836</v>
      </c>
      <c r="BU394" s="8">
        <v>764.78404249938262</v>
      </c>
      <c r="BV394" s="8">
        <v>364.54566222375792</v>
      </c>
      <c r="BW394" s="8">
        <v>1129.3297047231406</v>
      </c>
      <c r="BX394" s="8">
        <v>314.00951774234426</v>
      </c>
      <c r="BY394" s="8">
        <v>128.1709997986502</v>
      </c>
      <c r="BZ394" s="8">
        <v>442.18051754099446</v>
      </c>
      <c r="CA394" s="8">
        <v>0.12950553844591076</v>
      </c>
      <c r="CB394" s="8">
        <v>0.11610442971900646</v>
      </c>
      <c r="CC394" s="8">
        <v>9.1101432639449448E-13</v>
      </c>
      <c r="CD394" s="8">
        <v>2.8469197699827949E-13</v>
      </c>
      <c r="CE394" s="8">
        <v>-9.0949470177292824E-13</v>
      </c>
      <c r="CF394" s="8">
        <v>-2.8421709430404007E-13</v>
      </c>
      <c r="CG394" s="8">
        <v>1.4786927493207782</v>
      </c>
      <c r="CH394" s="8">
        <v>1.306230142211914</v>
      </c>
      <c r="CI394" s="8">
        <v>3.8710158394504672</v>
      </c>
      <c r="CJ394" s="8">
        <v>0</v>
      </c>
      <c r="CK394" s="8">
        <v>4.1990773511035089</v>
      </c>
      <c r="CL394" s="8">
        <v>0</v>
      </c>
      <c r="CM394" s="8">
        <v>6.6219542456963669</v>
      </c>
      <c r="CN394" s="8">
        <v>0</v>
      </c>
      <c r="CO394" s="8">
        <v>5905.4157194891095</v>
      </c>
      <c r="CP394" s="8">
        <v>3527.216755749836</v>
      </c>
    </row>
    <row r="395" spans="1:94" x14ac:dyDescent="0.2">
      <c r="A395" s="6" t="str">
        <f t="shared" si="165"/>
        <v>15- Clean Portfolio by 2045&amp;</v>
      </c>
      <c r="B395" s="6" t="str">
        <f>'Scenario List'!$A$17</f>
        <v>15- Clean Portfolio by 2045</v>
      </c>
      <c r="D395" s="8">
        <v>789.91922714215116</v>
      </c>
      <c r="E395" s="8">
        <v>373.52587477304712</v>
      </c>
      <c r="F395" s="8">
        <v>1163.4451019151984</v>
      </c>
      <c r="G395" s="8">
        <v>326.53056505792529</v>
      </c>
      <c r="H395" s="8">
        <v>128.02870716317727</v>
      </c>
      <c r="I395" s="8">
        <v>454.55927222110256</v>
      </c>
      <c r="J395" s="8">
        <v>0.13298168670815733</v>
      </c>
      <c r="K395" s="8">
        <v>0.11844196333449737</v>
      </c>
      <c r="L395" s="8">
        <v>3.7009957009776334E-13</v>
      </c>
      <c r="M395" s="8">
        <v>3.7009957009776334E-13</v>
      </c>
      <c r="N395" s="8">
        <v>-3.694822225952521E-13</v>
      </c>
      <c r="O395" s="8">
        <v>-3.694822225952521E-13</v>
      </c>
      <c r="P395" s="8">
        <v>1.4887707200907101</v>
      </c>
      <c r="Q395" s="8">
        <v>1.4836133218510152</v>
      </c>
      <c r="R395" s="8">
        <v>18.108068845705507</v>
      </c>
      <c r="S395" s="8">
        <v>0</v>
      </c>
      <c r="T395" s="8">
        <v>27.228305936522677</v>
      </c>
      <c r="U395" s="8">
        <v>0</v>
      </c>
      <c r="V395" s="8">
        <v>552.34877401587789</v>
      </c>
      <c r="W395" s="8">
        <v>0</v>
      </c>
      <c r="X395" s="8">
        <v>5940.0602195377032</v>
      </c>
      <c r="Y395" s="8">
        <v>3544.9232648393249</v>
      </c>
      <c r="AA395" s="8">
        <v>813.37581121523533</v>
      </c>
      <c r="AB395" s="8">
        <v>388.92053412338373</v>
      </c>
      <c r="AC395" s="8">
        <v>1202.2963453386192</v>
      </c>
      <c r="AD395" s="8">
        <v>333.17872623810842</v>
      </c>
      <c r="AE395" s="8">
        <v>143.42336651351394</v>
      </c>
      <c r="AF395" s="8">
        <v>476.60209275162237</v>
      </c>
      <c r="AG395" s="12">
        <v>0.13693056655215827</v>
      </c>
      <c r="AH395" s="12">
        <v>0.12332348239774171</v>
      </c>
      <c r="AI395" s="8">
        <v>7.4019914019552668E-13</v>
      </c>
      <c r="AJ395" s="8">
        <v>5.8361855284647294E-13</v>
      </c>
      <c r="AK395" s="8">
        <v>-7.3896444519050419E-13</v>
      </c>
      <c r="AL395" s="8">
        <v>-5.8264504332328215E-13</v>
      </c>
      <c r="AM395" s="25">
        <v>1.2789139188695777</v>
      </c>
      <c r="AN395" s="25">
        <v>1.2737565206298829</v>
      </c>
      <c r="AO395" s="8">
        <v>18.108068845705507</v>
      </c>
      <c r="AP395" s="8">
        <v>0</v>
      </c>
      <c r="AQ395" s="8">
        <v>27.228305936522677</v>
      </c>
      <c r="AR395" s="8">
        <v>0</v>
      </c>
      <c r="AS395" s="8">
        <v>529.98858159368558</v>
      </c>
      <c r="AT395" s="8">
        <v>0</v>
      </c>
      <c r="AU395" s="8">
        <v>5940.0602195377032</v>
      </c>
      <c r="AV395" s="8">
        <v>3544.9232648393249</v>
      </c>
      <c r="AX395" s="8">
        <v>763.49108032802678</v>
      </c>
      <c r="AY395" s="8">
        <v>357.94576698392399</v>
      </c>
      <c r="AZ395" s="8">
        <v>1121.4368473119507</v>
      </c>
      <c r="BA395" s="8">
        <v>307.22419419430531</v>
      </c>
      <c r="BB395" s="8">
        <v>112.4485993740542</v>
      </c>
      <c r="BC395" s="8">
        <v>419.67279356835951</v>
      </c>
      <c r="BD395" s="8">
        <v>0.12853254884803961</v>
      </c>
      <c r="BE395" s="8">
        <v>0.11350164010621215</v>
      </c>
      <c r="BF395" s="8">
        <v>5.6938395399655898E-13</v>
      </c>
      <c r="BG395" s="8">
        <v>1.9928438389879564E-13</v>
      </c>
      <c r="BH395" s="8">
        <v>5.6843418860808015E-13</v>
      </c>
      <c r="BI395" s="8">
        <v>-1.9895196601282805E-13</v>
      </c>
      <c r="BJ395" s="8">
        <v>1.585367652634226</v>
      </c>
      <c r="BK395" s="8">
        <v>1.5802102543945311</v>
      </c>
      <c r="BL395" s="8">
        <v>18.108068845705507</v>
      </c>
      <c r="BM395" s="8">
        <v>0</v>
      </c>
      <c r="BN395" s="8">
        <v>27.228305936522677</v>
      </c>
      <c r="BO395" s="8">
        <v>0</v>
      </c>
      <c r="BP395" s="8">
        <v>542.94980478111449</v>
      </c>
      <c r="BQ395" s="8">
        <v>0</v>
      </c>
      <c r="BR395" s="8">
        <v>5940.0602195377032</v>
      </c>
      <c r="BS395" s="8">
        <v>3544.9232648393249</v>
      </c>
      <c r="BU395" s="8">
        <v>788.11883450795835</v>
      </c>
      <c r="BV395" s="8">
        <v>372.58112631217114</v>
      </c>
      <c r="BW395" s="8">
        <v>1160.6999608201295</v>
      </c>
      <c r="BX395" s="8">
        <v>314.69903786237819</v>
      </c>
      <c r="BY395" s="8">
        <v>127.08395870230135</v>
      </c>
      <c r="BZ395" s="8">
        <v>441.78299656467954</v>
      </c>
      <c r="CA395" s="8">
        <v>0.13267859337784546</v>
      </c>
      <c r="CB395" s="8">
        <v>0.11814239141693909</v>
      </c>
      <c r="CC395" s="8">
        <v>5.1244555859690311E-13</v>
      </c>
      <c r="CD395" s="8">
        <v>7.2596454134561271E-13</v>
      </c>
      <c r="CE395" s="8">
        <v>5.1159076974727213E-13</v>
      </c>
      <c r="CF395" s="8">
        <v>7.2475359047530219E-13</v>
      </c>
      <c r="CG395" s="8">
        <v>1.3600644617162574</v>
      </c>
      <c r="CH395" s="8">
        <v>1.3549070634765625</v>
      </c>
      <c r="CI395" s="8">
        <v>18.108068845705507</v>
      </c>
      <c r="CJ395" s="8">
        <v>0</v>
      </c>
      <c r="CK395" s="8">
        <v>27.228305936522677</v>
      </c>
      <c r="CL395" s="8">
        <v>0</v>
      </c>
      <c r="CM395" s="8">
        <v>555.19009347489032</v>
      </c>
      <c r="CN395" s="8">
        <v>0</v>
      </c>
      <c r="CO395" s="8">
        <v>5940.0602195377032</v>
      </c>
      <c r="CP395" s="8">
        <v>3544.9232648393249</v>
      </c>
    </row>
    <row r="396" spans="1:94" x14ac:dyDescent="0.2">
      <c r="A396" s="6" t="str">
        <f t="shared" si="165"/>
        <v>15- Clean Portfolio by 2045&amp;</v>
      </c>
      <c r="B396" s="6" t="str">
        <f>'Scenario List'!$A$17</f>
        <v>15- Clean Portfolio by 2045</v>
      </c>
      <c r="D396" s="8">
        <v>826.65568338103651</v>
      </c>
      <c r="E396" s="8">
        <v>389.63256887691</v>
      </c>
      <c r="F396" s="8">
        <v>1216.2882522579466</v>
      </c>
      <c r="G396" s="8">
        <v>330.90767122589261</v>
      </c>
      <c r="H396" s="8">
        <v>134.51859146582021</v>
      </c>
      <c r="I396" s="8">
        <v>465.42626269171285</v>
      </c>
      <c r="J396" s="8">
        <v>0.13810420260883971</v>
      </c>
      <c r="K396" s="8">
        <v>0.12270137188479517</v>
      </c>
      <c r="L396" s="8">
        <v>1.9928438389879564E-13</v>
      </c>
      <c r="M396" s="8">
        <v>3.1316117469810747E-13</v>
      </c>
      <c r="N396" s="8">
        <v>0</v>
      </c>
      <c r="O396" s="8">
        <v>-3.1263880373444408E-13</v>
      </c>
      <c r="P396" s="8">
        <v>1.4186994160368689</v>
      </c>
      <c r="Q396" s="8">
        <v>1.3683519328613283</v>
      </c>
      <c r="R396" s="8">
        <v>17.486043113795098</v>
      </c>
      <c r="S396" s="8">
        <v>0.22768200938824337</v>
      </c>
      <c r="T396" s="8">
        <v>26.558553598461749</v>
      </c>
      <c r="U396" s="8">
        <v>0.22768200938824337</v>
      </c>
      <c r="V396" s="8">
        <v>547.39833957127564</v>
      </c>
      <c r="W396" s="8">
        <v>0</v>
      </c>
      <c r="X396" s="8">
        <v>5985.7387955268805</v>
      </c>
      <c r="Y396" s="8">
        <v>3566.6841823700552</v>
      </c>
      <c r="AA396" s="8">
        <v>838.72830701951568</v>
      </c>
      <c r="AB396" s="8">
        <v>399.3328498113965</v>
      </c>
      <c r="AC396" s="8">
        <v>1238.0611568309123</v>
      </c>
      <c r="AD396" s="8">
        <v>331.2162157638673</v>
      </c>
      <c r="AE396" s="8">
        <v>144.21887240030662</v>
      </c>
      <c r="AF396" s="8">
        <v>475.43508816417392</v>
      </c>
      <c r="AG396" s="12">
        <v>0.14012110044733228</v>
      </c>
      <c r="AH396" s="12">
        <v>0.12575614161762372</v>
      </c>
      <c r="AI396" s="8">
        <v>1.9928438389879564E-13</v>
      </c>
      <c r="AJ396" s="8">
        <v>6.4055694824612891E-13</v>
      </c>
      <c r="AK396" s="8">
        <v>0</v>
      </c>
      <c r="AL396" s="8">
        <v>6.3948846218409017E-13</v>
      </c>
      <c r="AM396" s="25">
        <v>1.2723276980040319</v>
      </c>
      <c r="AN396" s="25">
        <v>1.2219802148284913</v>
      </c>
      <c r="AO396" s="8">
        <v>17.486043113795098</v>
      </c>
      <c r="AP396" s="8">
        <v>0.22768200938824337</v>
      </c>
      <c r="AQ396" s="8">
        <v>26.558553598461749</v>
      </c>
      <c r="AR396" s="8">
        <v>0.22768200938824337</v>
      </c>
      <c r="AS396" s="8">
        <v>546.43124047415449</v>
      </c>
      <c r="AT396" s="8">
        <v>0</v>
      </c>
      <c r="AU396" s="8">
        <v>5985.7387955268805</v>
      </c>
      <c r="AV396" s="8">
        <v>3566.6841823700552</v>
      </c>
      <c r="AX396" s="8">
        <v>795.35755615343896</v>
      </c>
      <c r="AY396" s="8">
        <v>371.45973965919092</v>
      </c>
      <c r="AZ396" s="8">
        <v>1166.8172958126299</v>
      </c>
      <c r="BA396" s="8">
        <v>310.35554132149122</v>
      </c>
      <c r="BB396" s="8">
        <v>116.34576224810104</v>
      </c>
      <c r="BC396" s="8">
        <v>426.70130356959226</v>
      </c>
      <c r="BD396" s="8">
        <v>0.13287541994779434</v>
      </c>
      <c r="BE396" s="8">
        <v>0.11697846457632873</v>
      </c>
      <c r="BF396" s="8">
        <v>3.2739577354802139E-13</v>
      </c>
      <c r="BG396" s="8">
        <v>4.9821095974698914E-13</v>
      </c>
      <c r="BH396" s="8">
        <v>3.2684965844964609E-13</v>
      </c>
      <c r="BI396" s="8">
        <v>4.9737991503207013E-13</v>
      </c>
      <c r="BJ396" s="8">
        <v>1.5513756543181187</v>
      </c>
      <c r="BK396" s="8">
        <v>1.5010281711425781</v>
      </c>
      <c r="BL396" s="8">
        <v>17.486043113795098</v>
      </c>
      <c r="BM396" s="8">
        <v>0.22768200938824337</v>
      </c>
      <c r="BN396" s="8">
        <v>26.558553598461749</v>
      </c>
      <c r="BO396" s="8">
        <v>0.22768200938824337</v>
      </c>
      <c r="BP396" s="8">
        <v>546.35188860239975</v>
      </c>
      <c r="BQ396" s="8">
        <v>0</v>
      </c>
      <c r="BR396" s="8">
        <v>5985.7387955268805</v>
      </c>
      <c r="BS396" s="8">
        <v>3566.6841823700552</v>
      </c>
      <c r="BU396" s="8">
        <v>823.42406413966444</v>
      </c>
      <c r="BV396" s="8">
        <v>387.88164421916042</v>
      </c>
      <c r="BW396" s="8">
        <v>1211.3057083588249</v>
      </c>
      <c r="BX396" s="8">
        <v>316.17922360885615</v>
      </c>
      <c r="BY396" s="8">
        <v>132.76766680807052</v>
      </c>
      <c r="BZ396" s="8">
        <v>448.94689041692664</v>
      </c>
      <c r="CA396" s="8">
        <v>0.13756431616344603</v>
      </c>
      <c r="CB396" s="8">
        <v>0.12214997840608251</v>
      </c>
      <c r="CC396" s="8">
        <v>5.4091475629673104E-13</v>
      </c>
      <c r="CD396" s="8">
        <v>4.8397636089707518E-13</v>
      </c>
      <c r="CE396" s="8">
        <v>-5.4001247917767614E-13</v>
      </c>
      <c r="CF396" s="8">
        <v>-4.8316906031686813E-13</v>
      </c>
      <c r="CG396" s="8">
        <v>1.2765171596892126</v>
      </c>
      <c r="CH396" s="8">
        <v>1.226169676513672</v>
      </c>
      <c r="CI396" s="8">
        <v>17.486043113795098</v>
      </c>
      <c r="CJ396" s="8">
        <v>0.22768200938824337</v>
      </c>
      <c r="CK396" s="8">
        <v>26.558553598461749</v>
      </c>
      <c r="CL396" s="8">
        <v>0.22768200938824337</v>
      </c>
      <c r="CM396" s="8">
        <v>543.55372350706136</v>
      </c>
      <c r="CN396" s="8">
        <v>0</v>
      </c>
      <c r="CO396" s="8">
        <v>5985.7387955268805</v>
      </c>
      <c r="CP396" s="8">
        <v>3566.6841823700552</v>
      </c>
    </row>
    <row r="397" spans="1:94" x14ac:dyDescent="0.2">
      <c r="A397" s="6" t="str">
        <f t="shared" si="165"/>
        <v>15- Clean Portfolio by 2045&amp;</v>
      </c>
      <c r="B397" s="6" t="str">
        <f>'Scenario List'!$A$17</f>
        <v>15- Clean Portfolio by 2045</v>
      </c>
      <c r="D397" s="8">
        <v>854.98979572043754</v>
      </c>
      <c r="E397" s="8">
        <v>401.43450322168519</v>
      </c>
      <c r="F397" s="8">
        <v>1256.4242989421227</v>
      </c>
      <c r="G397" s="8">
        <v>327.77809133326559</v>
      </c>
      <c r="H397" s="8">
        <v>136.36141336475947</v>
      </c>
      <c r="I397" s="8">
        <v>464.13950469802506</v>
      </c>
      <c r="J397" s="8">
        <v>0.14164739757775544</v>
      </c>
      <c r="K397" s="8">
        <v>0.12556906786727715</v>
      </c>
      <c r="L397" s="8">
        <v>4.4127256434733322E-13</v>
      </c>
      <c r="M397" s="8">
        <v>6.4055694824612891E-13</v>
      </c>
      <c r="N397" s="8">
        <v>4.4053649617126212E-13</v>
      </c>
      <c r="O397" s="8">
        <v>-6.3948846218409017E-13</v>
      </c>
      <c r="P397" s="8">
        <v>1.2179424025585583</v>
      </c>
      <c r="Q397" s="8">
        <v>1.255429392578125</v>
      </c>
      <c r="R397" s="8">
        <v>58.147524938576161</v>
      </c>
      <c r="S397" s="8">
        <v>9.5833699128345735</v>
      </c>
      <c r="T397" s="8">
        <v>58.106113531305589</v>
      </c>
      <c r="U397" s="8">
        <v>7.6217743550123656</v>
      </c>
      <c r="V397" s="8">
        <v>1246.6295249924799</v>
      </c>
      <c r="W397" s="8">
        <v>149.93089111938485</v>
      </c>
      <c r="X397" s="8">
        <v>6036.0430925044166</v>
      </c>
      <c r="Y397" s="8">
        <v>3588.8647483173977</v>
      </c>
      <c r="AA397" s="8">
        <v>856.12915278008984</v>
      </c>
      <c r="AB397" s="8">
        <v>408.69034958491932</v>
      </c>
      <c r="AC397" s="8">
        <v>1264.8195023650092</v>
      </c>
      <c r="AD397" s="8">
        <v>317.64428932768249</v>
      </c>
      <c r="AE397" s="8">
        <v>143.6172597279936</v>
      </c>
      <c r="AF397" s="8">
        <v>461.26154905567608</v>
      </c>
      <c r="AG397" s="12">
        <v>0.14183615651174436</v>
      </c>
      <c r="AH397" s="12">
        <v>0.12783870303094003</v>
      </c>
      <c r="AI397" s="8">
        <v>3.5586497124784937E-13</v>
      </c>
      <c r="AJ397" s="8">
        <v>5.5514935514664501E-13</v>
      </c>
      <c r="AK397" s="8">
        <v>3.5527136788005009E-13</v>
      </c>
      <c r="AL397" s="8">
        <v>5.5422333389287814E-13</v>
      </c>
      <c r="AM397" s="25">
        <v>1.0812015695431165</v>
      </c>
      <c r="AN397" s="25">
        <v>1.1186885595626832</v>
      </c>
      <c r="AO397" s="8">
        <v>58.147524938576161</v>
      </c>
      <c r="AP397" s="8">
        <v>9.5833699128345735</v>
      </c>
      <c r="AQ397" s="8">
        <v>58.106113531305589</v>
      </c>
      <c r="AR397" s="8">
        <v>7.6217743550123656</v>
      </c>
      <c r="AS397" s="8">
        <v>1258.9598277774719</v>
      </c>
      <c r="AT397" s="8">
        <v>151.55611347045905</v>
      </c>
      <c r="AU397" s="8">
        <v>6036.0430925044166</v>
      </c>
      <c r="AV397" s="8">
        <v>3588.8647483173977</v>
      </c>
      <c r="AX397" s="8">
        <v>830.11908778315956</v>
      </c>
      <c r="AY397" s="8">
        <v>385.11408475037541</v>
      </c>
      <c r="AZ397" s="8">
        <v>1215.233172533535</v>
      </c>
      <c r="BA397" s="8">
        <v>312.23998693996936</v>
      </c>
      <c r="BB397" s="8">
        <v>120.04099489344969</v>
      </c>
      <c r="BC397" s="8">
        <v>432.28098183341905</v>
      </c>
      <c r="BD397" s="8">
        <v>0.13752703137822275</v>
      </c>
      <c r="BE397" s="8">
        <v>0.1204640265262877</v>
      </c>
      <c r="BF397" s="8">
        <v>6.2632234939621495E-13</v>
      </c>
      <c r="BG397" s="8">
        <v>1.8504978504888167E-13</v>
      </c>
      <c r="BH397" s="8">
        <v>-6.2527760746888816E-13</v>
      </c>
      <c r="BI397" s="8">
        <v>-1.8474111129762605E-13</v>
      </c>
      <c r="BJ397" s="8">
        <v>1.3294098503124645</v>
      </c>
      <c r="BK397" s="8">
        <v>1.3668968403320312</v>
      </c>
      <c r="BL397" s="8">
        <v>58.147524938576161</v>
      </c>
      <c r="BM397" s="8">
        <v>9.5833699128345735</v>
      </c>
      <c r="BN397" s="8">
        <v>58.106113531305589</v>
      </c>
      <c r="BO397" s="8">
        <v>7.6217743550123656</v>
      </c>
      <c r="BP397" s="8">
        <v>1238.7087269294568</v>
      </c>
      <c r="BQ397" s="8">
        <v>149.13062011108408</v>
      </c>
      <c r="BR397" s="8">
        <v>6036.0430925044166</v>
      </c>
      <c r="BS397" s="8">
        <v>3588.8647483173977</v>
      </c>
      <c r="BU397" s="8">
        <v>850.30492087539062</v>
      </c>
      <c r="BV397" s="8">
        <v>399.21958652575137</v>
      </c>
      <c r="BW397" s="8">
        <v>1249.524507401142</v>
      </c>
      <c r="BX397" s="8">
        <v>312.74750870002674</v>
      </c>
      <c r="BY397" s="8">
        <v>134.14649666882568</v>
      </c>
      <c r="BZ397" s="8">
        <v>446.89400536885239</v>
      </c>
      <c r="CA397" s="8">
        <v>0.1408712475779543</v>
      </c>
      <c r="CB397" s="8">
        <v>0.12487623996464295</v>
      </c>
      <c r="CC397" s="8">
        <v>4.4127256434733322E-13</v>
      </c>
      <c r="CD397" s="8">
        <v>1.8504978504888167E-13</v>
      </c>
      <c r="CE397" s="8">
        <v>-4.4053649617126212E-13</v>
      </c>
      <c r="CF397" s="8">
        <v>1.8474111129762605E-13</v>
      </c>
      <c r="CG397" s="8">
        <v>1.0944019169628552</v>
      </c>
      <c r="CH397" s="8">
        <v>1.1318889069824218</v>
      </c>
      <c r="CI397" s="8">
        <v>58.147524938576161</v>
      </c>
      <c r="CJ397" s="8">
        <v>9.5833699128345735</v>
      </c>
      <c r="CK397" s="8">
        <v>58.106113531305589</v>
      </c>
      <c r="CL397" s="8">
        <v>7.6217743550123656</v>
      </c>
      <c r="CM397" s="8">
        <v>1259.1551089729264</v>
      </c>
      <c r="CN397" s="8">
        <v>151.51360000000011</v>
      </c>
      <c r="CO397" s="8">
        <v>6036.0430925044166</v>
      </c>
      <c r="CP397" s="8">
        <v>3588.8647483173977</v>
      </c>
    </row>
    <row r="398" spans="1:94" x14ac:dyDescent="0.2">
      <c r="A398" s="6" t="str">
        <f t="shared" si="165"/>
        <v>15- Clean Portfolio by 2045&amp;</v>
      </c>
      <c r="B398" s="6" t="str">
        <f>'Scenario List'!$A$17</f>
        <v>15- Clean Portfolio by 2045</v>
      </c>
      <c r="D398" s="8">
        <v>882.38090732266301</v>
      </c>
      <c r="E398" s="8">
        <v>413.10205725439101</v>
      </c>
      <c r="F398" s="8">
        <v>1295.482964577054</v>
      </c>
      <c r="G398" s="8">
        <v>326.23031821919471</v>
      </c>
      <c r="H398" s="8">
        <v>137.60702628286919</v>
      </c>
      <c r="I398" s="8">
        <v>463.8373445020639</v>
      </c>
      <c r="J398" s="8">
        <v>0.14509124397596873</v>
      </c>
      <c r="K398" s="8">
        <v>0.12817571654219073</v>
      </c>
      <c r="L398" s="8">
        <v>3.9856876779759127E-13</v>
      </c>
      <c r="M398" s="8">
        <v>2.8469197699827953E-14</v>
      </c>
      <c r="N398" s="8">
        <v>3.979039320256561E-13</v>
      </c>
      <c r="O398" s="8">
        <v>0</v>
      </c>
      <c r="P398" s="8">
        <v>1.1707043095845644</v>
      </c>
      <c r="Q398" s="8">
        <v>1.1969858792240622</v>
      </c>
      <c r="R398" s="8">
        <v>57.409263181390656</v>
      </c>
      <c r="S398" s="8">
        <v>10.309651319094788</v>
      </c>
      <c r="T398" s="8">
        <v>57.441524302123916</v>
      </c>
      <c r="U398" s="8">
        <v>8.3711545412529969</v>
      </c>
      <c r="V398" s="8">
        <v>1237.1789874575391</v>
      </c>
      <c r="W398" s="8">
        <v>148.54823722534186</v>
      </c>
      <c r="X398" s="8">
        <v>6081.558632640923</v>
      </c>
      <c r="Y398" s="8">
        <v>3613.3457086414037</v>
      </c>
      <c r="AA398" s="8">
        <v>891.08553501083247</v>
      </c>
      <c r="AB398" s="8">
        <v>424.21782914563835</v>
      </c>
      <c r="AC398" s="8">
        <v>1315.3033641564707</v>
      </c>
      <c r="AD398" s="8">
        <v>319.64386579471079</v>
      </c>
      <c r="AE398" s="8">
        <v>148.72279817411655</v>
      </c>
      <c r="AF398" s="8">
        <v>468.36666396882731</v>
      </c>
      <c r="AG398" s="12">
        <v>0.14652255923805468</v>
      </c>
      <c r="AH398" s="12">
        <v>0.13162467546665035</v>
      </c>
      <c r="AI398" s="8">
        <v>7.6866833789535461E-13</v>
      </c>
      <c r="AJ398" s="8">
        <v>3.1316117469810747E-13</v>
      </c>
      <c r="AK398" s="8">
        <v>7.673861546209082E-13</v>
      </c>
      <c r="AL398" s="8">
        <v>3.1263880373444408E-13</v>
      </c>
      <c r="AM398" s="25">
        <v>0.9937125302063885</v>
      </c>
      <c r="AN398" s="25">
        <v>1.0199940998458863</v>
      </c>
      <c r="AO398" s="8">
        <v>57.409263181390656</v>
      </c>
      <c r="AP398" s="8">
        <v>10.309651319094788</v>
      </c>
      <c r="AQ398" s="8">
        <v>57.441524302123916</v>
      </c>
      <c r="AR398" s="8">
        <v>8.3711545412529969</v>
      </c>
      <c r="AS398" s="8">
        <v>1221.6086507434347</v>
      </c>
      <c r="AT398" s="8">
        <v>147.30490277099619</v>
      </c>
      <c r="AU398" s="8">
        <v>6081.558632640923</v>
      </c>
      <c r="AV398" s="8">
        <v>3613.3457086414037</v>
      </c>
      <c r="AX398" s="8">
        <v>857.42509324225989</v>
      </c>
      <c r="AY398" s="8">
        <v>396.73631694254999</v>
      </c>
      <c r="AZ398" s="8">
        <v>1254.1614101848099</v>
      </c>
      <c r="BA398" s="8">
        <v>310.12064020035365</v>
      </c>
      <c r="BB398" s="8">
        <v>121.24128597102819</v>
      </c>
      <c r="BC398" s="8">
        <v>431.36192617138181</v>
      </c>
      <c r="BD398" s="8">
        <v>0.14098772124637432</v>
      </c>
      <c r="BE398" s="8">
        <v>0.1230978176201772</v>
      </c>
      <c r="BF398" s="8">
        <v>8.5407593099483852E-14</v>
      </c>
      <c r="BG398" s="8">
        <v>4.2703796549741926E-13</v>
      </c>
      <c r="BH398" s="8">
        <v>0</v>
      </c>
      <c r="BI398" s="8">
        <v>-4.2632564145606011E-13</v>
      </c>
      <c r="BJ398" s="8">
        <v>1.2730422879082623</v>
      </c>
      <c r="BK398" s="8">
        <v>1.2993238575477601</v>
      </c>
      <c r="BL398" s="8">
        <v>57.409263181390656</v>
      </c>
      <c r="BM398" s="8">
        <v>10.309651319094788</v>
      </c>
      <c r="BN398" s="8">
        <v>57.441524302123916</v>
      </c>
      <c r="BO398" s="8">
        <v>8.3711545412529969</v>
      </c>
      <c r="BP398" s="8">
        <v>1229.4581021568667</v>
      </c>
      <c r="BQ398" s="8">
        <v>148.0290359741212</v>
      </c>
      <c r="BR398" s="8">
        <v>6081.558632640923</v>
      </c>
      <c r="BS398" s="8">
        <v>3613.3457086414037</v>
      </c>
      <c r="BU398" s="8">
        <v>877.05089281746245</v>
      </c>
      <c r="BV398" s="8">
        <v>410.95477694218516</v>
      </c>
      <c r="BW398" s="8">
        <v>1288.0056697596476</v>
      </c>
      <c r="BX398" s="8">
        <v>308.55505781587323</v>
      </c>
      <c r="BY398" s="8">
        <v>135.45974597066336</v>
      </c>
      <c r="BZ398" s="8">
        <v>444.01480378653662</v>
      </c>
      <c r="CA398" s="8">
        <v>0.1442148215278494</v>
      </c>
      <c r="CB398" s="8">
        <v>0.12750946667051691</v>
      </c>
      <c r="CC398" s="8">
        <v>1.5658058734905374E-13</v>
      </c>
      <c r="CD398" s="8">
        <v>5.8361855284647294E-13</v>
      </c>
      <c r="CE398" s="8">
        <v>1.5631940186722204E-13</v>
      </c>
      <c r="CF398" s="8">
        <v>5.8264504332328215E-13</v>
      </c>
      <c r="CG398" s="8">
        <v>1.0271147011124551</v>
      </c>
      <c r="CH398" s="8">
        <v>1.0533962707519529</v>
      </c>
      <c r="CI398" s="8">
        <v>57.409263181390656</v>
      </c>
      <c r="CJ398" s="8">
        <v>10.309651319094788</v>
      </c>
      <c r="CK398" s="8">
        <v>57.441524302123916</v>
      </c>
      <c r="CL398" s="8">
        <v>8.3711545412529969</v>
      </c>
      <c r="CM398" s="8">
        <v>1252.6631795745986</v>
      </c>
      <c r="CN398" s="8">
        <v>150.16080000000014</v>
      </c>
      <c r="CO398" s="8">
        <v>6081.558632640923</v>
      </c>
      <c r="CP398" s="8">
        <v>3613.3457086414037</v>
      </c>
    </row>
    <row r="399" spans="1:94" x14ac:dyDescent="0.2">
      <c r="A399" s="6" t="str">
        <f t="shared" si="165"/>
        <v>15- Clean Portfolio by 2045&amp;</v>
      </c>
      <c r="B399" s="6" t="str">
        <f>'Scenario List'!$A$17</f>
        <v>15- Clean Portfolio by 2045</v>
      </c>
      <c r="D399" s="8">
        <v>894.99018444716557</v>
      </c>
      <c r="E399" s="8">
        <v>416.02660193801592</v>
      </c>
      <c r="F399" s="8">
        <v>1311.0167863851816</v>
      </c>
      <c r="G399" s="8">
        <v>309.77573407693956</v>
      </c>
      <c r="H399" s="8">
        <v>129.72834803178924</v>
      </c>
      <c r="I399" s="8">
        <v>439.50408210872877</v>
      </c>
      <c r="J399" s="8">
        <v>0.14595781849897124</v>
      </c>
      <c r="K399" s="8">
        <v>0.12803984944818594</v>
      </c>
      <c r="L399" s="8">
        <v>3.5586497124784937E-13</v>
      </c>
      <c r="M399" s="8">
        <v>5.2668015744681708E-13</v>
      </c>
      <c r="N399" s="8">
        <v>3.5527136788005009E-13</v>
      </c>
      <c r="O399" s="8">
        <v>5.2580162446247414E-13</v>
      </c>
      <c r="P399" s="8">
        <v>1.218763877143529</v>
      </c>
      <c r="Q399" s="8">
        <v>1.1416825346679687</v>
      </c>
      <c r="R399" s="8">
        <v>56.571582343531269</v>
      </c>
      <c r="S399" s="8">
        <v>10.488441929996892</v>
      </c>
      <c r="T399" s="8">
        <v>56.623947248820784</v>
      </c>
      <c r="U399" s="8">
        <v>8.5737587024888811</v>
      </c>
      <c r="V399" s="8">
        <v>1245.6367430743026</v>
      </c>
      <c r="W399" s="8">
        <v>149.60375962524427</v>
      </c>
      <c r="X399" s="8">
        <v>6131.8413336896629</v>
      </c>
      <c r="Y399" s="8">
        <v>3638.666960463991</v>
      </c>
      <c r="AA399" s="8">
        <v>902.78578183579043</v>
      </c>
      <c r="AB399" s="8">
        <v>427.14761766488351</v>
      </c>
      <c r="AC399" s="8">
        <v>1329.9333995006739</v>
      </c>
      <c r="AD399" s="8">
        <v>302.62786551891378</v>
      </c>
      <c r="AE399" s="8">
        <v>140.84936375865684</v>
      </c>
      <c r="AF399" s="8">
        <v>443.47722927757059</v>
      </c>
      <c r="AG399" s="12">
        <v>0.14722914907724211</v>
      </c>
      <c r="AH399" s="12">
        <v>0.13146254687365297</v>
      </c>
      <c r="AI399" s="8">
        <v>4.9821095974698914E-13</v>
      </c>
      <c r="AJ399" s="8">
        <v>2.4198818044853759E-13</v>
      </c>
      <c r="AK399" s="8">
        <v>4.9737991503207013E-13</v>
      </c>
      <c r="AL399" s="8">
        <v>2.4158453015843406E-13</v>
      </c>
      <c r="AM399" s="25">
        <v>1.0523555288158923</v>
      </c>
      <c r="AN399" s="25">
        <v>0.97527418634033203</v>
      </c>
      <c r="AO399" s="8">
        <v>56.571582343531269</v>
      </c>
      <c r="AP399" s="8">
        <v>10.488441929996892</v>
      </c>
      <c r="AQ399" s="8">
        <v>56.623947248820784</v>
      </c>
      <c r="AR399" s="8">
        <v>8.5737587024888811</v>
      </c>
      <c r="AS399" s="8">
        <v>1251.8006086723196</v>
      </c>
      <c r="AT399" s="8">
        <v>150.18558082885755</v>
      </c>
      <c r="AU399" s="8">
        <v>6131.8413336896629</v>
      </c>
      <c r="AV399" s="8">
        <v>3638.666960463991</v>
      </c>
      <c r="AX399" s="8">
        <v>868.50090951214099</v>
      </c>
      <c r="AY399" s="8">
        <v>398.8906282424922</v>
      </c>
      <c r="AZ399" s="8">
        <v>1267.3915377546332</v>
      </c>
      <c r="BA399" s="8">
        <v>292.52660679899429</v>
      </c>
      <c r="BB399" s="8">
        <v>112.59237433626551</v>
      </c>
      <c r="BC399" s="8">
        <v>405.11898113525979</v>
      </c>
      <c r="BD399" s="8">
        <v>0.1416378641013441</v>
      </c>
      <c r="BE399" s="8">
        <v>0.12276593791968751</v>
      </c>
      <c r="BF399" s="8">
        <v>4.2703796549741926E-14</v>
      </c>
      <c r="BG399" s="8">
        <v>9.9642191949397818E-14</v>
      </c>
      <c r="BH399" s="8">
        <v>0</v>
      </c>
      <c r="BI399" s="8">
        <v>0</v>
      </c>
      <c r="BJ399" s="8">
        <v>1.3245251303860217</v>
      </c>
      <c r="BK399" s="8">
        <v>1.2474437879104614</v>
      </c>
      <c r="BL399" s="8">
        <v>56.571582343531269</v>
      </c>
      <c r="BM399" s="8">
        <v>10.488441929996892</v>
      </c>
      <c r="BN399" s="8">
        <v>56.623947248820784</v>
      </c>
      <c r="BO399" s="8">
        <v>8.5737587024888811</v>
      </c>
      <c r="BP399" s="8">
        <v>1247.7388205396937</v>
      </c>
      <c r="BQ399" s="8">
        <v>149.39080387573256</v>
      </c>
      <c r="BR399" s="8">
        <v>6131.8413336896629</v>
      </c>
      <c r="BS399" s="8">
        <v>3638.666960463991</v>
      </c>
      <c r="BU399" s="8">
        <v>892.19824583207185</v>
      </c>
      <c r="BV399" s="8">
        <v>415.24429014708369</v>
      </c>
      <c r="BW399" s="8">
        <v>1307.4425359791555</v>
      </c>
      <c r="BX399" s="8">
        <v>291.34435027545658</v>
      </c>
      <c r="BY399" s="8">
        <v>128.94603624085698</v>
      </c>
      <c r="BZ399" s="8">
        <v>420.29038651631356</v>
      </c>
      <c r="CA399" s="8">
        <v>0.14550250035501436</v>
      </c>
      <c r="CB399" s="8">
        <v>0.1277990785852991</v>
      </c>
      <c r="CC399" s="8">
        <v>4.8397636089707518E-13</v>
      </c>
      <c r="CD399" s="8">
        <v>6.8326074479587081E-13</v>
      </c>
      <c r="CE399" s="8">
        <v>-4.8316906031686813E-13</v>
      </c>
      <c r="CF399" s="8">
        <v>-6.8212102632969618E-13</v>
      </c>
      <c r="CG399" s="8">
        <v>1.0454655316845447</v>
      </c>
      <c r="CH399" s="8">
        <v>0.96838418920898439</v>
      </c>
      <c r="CI399" s="8">
        <v>56.571582343531269</v>
      </c>
      <c r="CJ399" s="8">
        <v>10.488441929996892</v>
      </c>
      <c r="CK399" s="8">
        <v>56.623947248820784</v>
      </c>
      <c r="CL399" s="8">
        <v>8.5737587024888811</v>
      </c>
      <c r="CM399" s="8">
        <v>1244.7861570598141</v>
      </c>
      <c r="CN399" s="8">
        <v>149.37760000000011</v>
      </c>
      <c r="CO399" s="8">
        <v>6131.8413336896629</v>
      </c>
      <c r="CP399" s="8">
        <v>3638.666960463991</v>
      </c>
    </row>
    <row r="400" spans="1:94" x14ac:dyDescent="0.2">
      <c r="A400" s="6" t="str">
        <f t="shared" si="165"/>
        <v>15- Clean Portfolio by 2045&amp;</v>
      </c>
      <c r="B400" s="6" t="str">
        <f>'Scenario List'!$A$17</f>
        <v>15- Clean Portfolio by 2045</v>
      </c>
      <c r="D400" s="8">
        <v>926.15956578129305</v>
      </c>
      <c r="E400" s="8">
        <v>430.43303046897989</v>
      </c>
      <c r="F400" s="8">
        <v>1356.5925962502729</v>
      </c>
      <c r="G400" s="8">
        <v>311.8599212466732</v>
      </c>
      <c r="H400" s="8">
        <v>133.02682633068079</v>
      </c>
      <c r="I400" s="8">
        <v>444.88674757735396</v>
      </c>
      <c r="J400" s="8">
        <v>0.14976626829852177</v>
      </c>
      <c r="K400" s="8">
        <v>0.13147373035329729</v>
      </c>
      <c r="L400" s="8">
        <v>6.8326074479587081E-13</v>
      </c>
      <c r="M400" s="8">
        <v>3.5586497124784937E-13</v>
      </c>
      <c r="N400" s="8">
        <v>-6.8212102632969618E-13</v>
      </c>
      <c r="O400" s="8">
        <v>3.5527136788005009E-13</v>
      </c>
      <c r="P400" s="8">
        <v>1.192274608649091</v>
      </c>
      <c r="Q400" s="8">
        <v>1.0972599987792968</v>
      </c>
      <c r="R400" s="8">
        <v>55.839780977889383</v>
      </c>
      <c r="S400" s="8">
        <v>10.664023039774012</v>
      </c>
      <c r="T400" s="8">
        <v>55.910833605057704</v>
      </c>
      <c r="U400" s="8">
        <v>8.7728608239760479</v>
      </c>
      <c r="V400" s="8">
        <v>1230.915646012792</v>
      </c>
      <c r="W400" s="8">
        <v>147.88736333618175</v>
      </c>
      <c r="X400" s="8">
        <v>6184.0331357874556</v>
      </c>
      <c r="Y400" s="8">
        <v>3665.2415751409676</v>
      </c>
      <c r="AA400" s="8">
        <v>936.96554787653167</v>
      </c>
      <c r="AB400" s="8">
        <v>442.70817460345199</v>
      </c>
      <c r="AC400" s="8">
        <v>1379.6737224799836</v>
      </c>
      <c r="AD400" s="8">
        <v>307.76205525555343</v>
      </c>
      <c r="AE400" s="8">
        <v>145.30197046515289</v>
      </c>
      <c r="AF400" s="8">
        <v>453.06402572070635</v>
      </c>
      <c r="AG400" s="12">
        <v>0.15151366871795091</v>
      </c>
      <c r="AH400" s="12">
        <v>0.13522311498631454</v>
      </c>
      <c r="AI400" s="8">
        <v>0</v>
      </c>
      <c r="AJ400" s="8">
        <v>4.4127256434733322E-13</v>
      </c>
      <c r="AK400" s="8">
        <v>0</v>
      </c>
      <c r="AL400" s="8">
        <v>4.4053649617126212E-13</v>
      </c>
      <c r="AM400" s="25">
        <v>1.0329629751041689</v>
      </c>
      <c r="AN400" s="25">
        <v>0.93794836523437486</v>
      </c>
      <c r="AO400" s="8">
        <v>55.839780977889383</v>
      </c>
      <c r="AP400" s="8">
        <v>10.664023039774012</v>
      </c>
      <c r="AQ400" s="8">
        <v>55.910833605057704</v>
      </c>
      <c r="AR400" s="8">
        <v>8.7728608239760479</v>
      </c>
      <c r="AS400" s="8">
        <v>1239.633073008978</v>
      </c>
      <c r="AT400" s="8">
        <v>148.64798088989269</v>
      </c>
      <c r="AU400" s="8">
        <v>6184.0331357874556</v>
      </c>
      <c r="AV400" s="8">
        <v>3665.2415751409676</v>
      </c>
      <c r="AX400" s="8">
        <v>901.3399931451047</v>
      </c>
      <c r="AY400" s="8">
        <v>414.13551965231773</v>
      </c>
      <c r="AZ400" s="8">
        <v>1315.4755127974224</v>
      </c>
      <c r="BA400" s="8">
        <v>295.8316037219783</v>
      </c>
      <c r="BB400" s="8">
        <v>116.72931551401864</v>
      </c>
      <c r="BC400" s="8">
        <v>412.56091923599695</v>
      </c>
      <c r="BD400" s="8">
        <v>0.14575277547091131</v>
      </c>
      <c r="BE400" s="8">
        <v>0.1264957328696813</v>
      </c>
      <c r="BF400" s="8">
        <v>2.2775358159862362E-13</v>
      </c>
      <c r="BG400" s="8">
        <v>2.8469197699827949E-13</v>
      </c>
      <c r="BH400" s="8">
        <v>2.2737367544323206E-13</v>
      </c>
      <c r="BI400" s="8">
        <v>-2.8421709430404007E-13</v>
      </c>
      <c r="BJ400" s="8">
        <v>1.2912581786206527</v>
      </c>
      <c r="BK400" s="8">
        <v>1.1962435687508586</v>
      </c>
      <c r="BL400" s="8">
        <v>55.839780977889383</v>
      </c>
      <c r="BM400" s="8">
        <v>10.664023039774012</v>
      </c>
      <c r="BN400" s="8">
        <v>55.910833605057704</v>
      </c>
      <c r="BO400" s="8">
        <v>8.7728608239760479</v>
      </c>
      <c r="BP400" s="8">
        <v>1242.3895717323624</v>
      </c>
      <c r="BQ400" s="8">
        <v>148.98055972290049</v>
      </c>
      <c r="BR400" s="8">
        <v>6184.0331357874556</v>
      </c>
      <c r="BS400" s="8">
        <v>3665.2415751409676</v>
      </c>
      <c r="BU400" s="8">
        <v>921.93726820499205</v>
      </c>
      <c r="BV400" s="8">
        <v>429.01490860512951</v>
      </c>
      <c r="BW400" s="8">
        <v>1350.9521768101215</v>
      </c>
      <c r="BX400" s="8">
        <v>292.87972264250999</v>
      </c>
      <c r="BY400" s="8">
        <v>131.60870446683046</v>
      </c>
      <c r="BZ400" s="8">
        <v>424.48842710934048</v>
      </c>
      <c r="CA400" s="8">
        <v>0.14908349421183936</v>
      </c>
      <c r="CB400" s="8">
        <v>0.13104057174710751</v>
      </c>
      <c r="CC400" s="8">
        <v>2.1351898274870963E-13</v>
      </c>
      <c r="CD400" s="8">
        <v>3.2739577354802139E-13</v>
      </c>
      <c r="CE400" s="8">
        <v>-2.1316282072803006E-13</v>
      </c>
      <c r="CF400" s="8">
        <v>3.2684965844964609E-13</v>
      </c>
      <c r="CG400" s="8">
        <v>1.031595824225263</v>
      </c>
      <c r="CH400" s="8">
        <v>0.93658121435546882</v>
      </c>
      <c r="CI400" s="8">
        <v>55.839780977889383</v>
      </c>
      <c r="CJ400" s="8">
        <v>10.664023039774012</v>
      </c>
      <c r="CK400" s="8">
        <v>55.910833605057704</v>
      </c>
      <c r="CL400" s="8">
        <v>8.7728608239760479</v>
      </c>
      <c r="CM400" s="8">
        <v>1256.000640561783</v>
      </c>
      <c r="CN400" s="8">
        <v>150.62360000000012</v>
      </c>
      <c r="CO400" s="8">
        <v>6184.0331357874556</v>
      </c>
      <c r="CP400" s="8">
        <v>3665.2415751409676</v>
      </c>
    </row>
    <row r="401" spans="1:94" x14ac:dyDescent="0.2">
      <c r="A401" s="6" t="str">
        <f t="shared" si="165"/>
        <v>15- Clean Portfolio by 2045&amp;</v>
      </c>
      <c r="B401" s="6" t="str">
        <f>'Scenario List'!$A$17</f>
        <v>15- Clean Portfolio by 2045</v>
      </c>
      <c r="D401" s="8">
        <v>970.44489609968468</v>
      </c>
      <c r="E401" s="8">
        <v>452.11669584558058</v>
      </c>
      <c r="F401" s="8">
        <v>1422.5615919452653</v>
      </c>
      <c r="G401" s="8">
        <v>332.56284276627235</v>
      </c>
      <c r="H401" s="8">
        <v>143.14018340510432</v>
      </c>
      <c r="I401" s="8">
        <v>475.70302617137668</v>
      </c>
      <c r="J401" s="8">
        <v>0.15548203319610179</v>
      </c>
      <c r="K401" s="8">
        <v>0.13698172857338797</v>
      </c>
      <c r="L401" s="8">
        <v>1.708151861989677E-13</v>
      </c>
      <c r="M401" s="8">
        <v>4.2703796549741926E-14</v>
      </c>
      <c r="N401" s="8">
        <v>1.7053025658242404E-13</v>
      </c>
      <c r="O401" s="8">
        <v>0</v>
      </c>
      <c r="P401" s="8">
        <v>1.2375783876000774</v>
      </c>
      <c r="Q401" s="8">
        <v>1.1140636010742189</v>
      </c>
      <c r="R401" s="8">
        <v>126.86660954209536</v>
      </c>
      <c r="S401" s="8">
        <v>49.964572827024533</v>
      </c>
      <c r="T401" s="8">
        <v>122.88612465684207</v>
      </c>
      <c r="U401" s="8">
        <v>45.850423736461053</v>
      </c>
      <c r="V401" s="8">
        <v>1256.3065689922591</v>
      </c>
      <c r="W401" s="8">
        <v>151.13270726928721</v>
      </c>
      <c r="X401" s="8">
        <v>6241.5243494771548</v>
      </c>
      <c r="Y401" s="8">
        <v>3692.7766283520828</v>
      </c>
      <c r="AA401" s="8">
        <v>982.29296612592407</v>
      </c>
      <c r="AB401" s="8">
        <v>465.66841867135741</v>
      </c>
      <c r="AC401" s="8">
        <v>1447.9613847972814</v>
      </c>
      <c r="AD401" s="8">
        <v>326.66925403045508</v>
      </c>
      <c r="AE401" s="8">
        <v>156.69190623088119</v>
      </c>
      <c r="AF401" s="8">
        <v>483.36116026133629</v>
      </c>
      <c r="AG401" s="12">
        <v>0.15738029864582834</v>
      </c>
      <c r="AH401" s="12">
        <v>0.14108761193244088</v>
      </c>
      <c r="AI401" s="8">
        <v>5.1244555859690311E-13</v>
      </c>
      <c r="AJ401" s="8">
        <v>2.7045737814836552E-13</v>
      </c>
      <c r="AK401" s="8">
        <v>-5.1159076974727213E-13</v>
      </c>
      <c r="AL401" s="8">
        <v>2.7000623958883807E-13</v>
      </c>
      <c r="AM401" s="25">
        <v>1.0503452167016398</v>
      </c>
      <c r="AN401" s="25">
        <v>0.92683043017578126</v>
      </c>
      <c r="AO401" s="8">
        <v>126.86660954209536</v>
      </c>
      <c r="AP401" s="8">
        <v>49.964572827024533</v>
      </c>
      <c r="AQ401" s="8">
        <v>122.88612465684207</v>
      </c>
      <c r="AR401" s="8">
        <v>45.850423736461053</v>
      </c>
      <c r="AS401" s="8">
        <v>1247.0831247080089</v>
      </c>
      <c r="AT401" s="8">
        <v>150.11093748586171</v>
      </c>
      <c r="AU401" s="8">
        <v>6241.5243494771548</v>
      </c>
      <c r="AV401" s="8">
        <v>3692.7766283520828</v>
      </c>
      <c r="AX401" s="8">
        <v>944.00780413610789</v>
      </c>
      <c r="AY401" s="8">
        <v>435.00946002717797</v>
      </c>
      <c r="AZ401" s="8">
        <v>1379.0172641632857</v>
      </c>
      <c r="BA401" s="8">
        <v>315.99054237283843</v>
      </c>
      <c r="BB401" s="8">
        <v>126.03294758670171</v>
      </c>
      <c r="BC401" s="8">
        <v>442.02348995954014</v>
      </c>
      <c r="BD401" s="8">
        <v>0.15124635446069939</v>
      </c>
      <c r="BE401" s="8">
        <v>0.13179860051142908</v>
      </c>
      <c r="BF401" s="8">
        <v>3.2739577354802139E-13</v>
      </c>
      <c r="BG401" s="8">
        <v>1.4234598849913974E-13</v>
      </c>
      <c r="BH401" s="8">
        <v>-3.2684965844964609E-13</v>
      </c>
      <c r="BI401" s="8">
        <v>-1.4210854715202004E-13</v>
      </c>
      <c r="BJ401" s="8">
        <v>1.3460274964867962</v>
      </c>
      <c r="BK401" s="8">
        <v>1.2225127099609376</v>
      </c>
      <c r="BL401" s="8">
        <v>126.86660954209536</v>
      </c>
      <c r="BM401" s="8">
        <v>49.964572827024533</v>
      </c>
      <c r="BN401" s="8">
        <v>122.88612465684207</v>
      </c>
      <c r="BO401" s="8">
        <v>45.850423736461053</v>
      </c>
      <c r="BP401" s="8">
        <v>1256.3065689922591</v>
      </c>
      <c r="BQ401" s="8">
        <v>151.13270726928721</v>
      </c>
      <c r="BR401" s="8">
        <v>6241.5243494771548</v>
      </c>
      <c r="BS401" s="8">
        <v>3692.7766283520828</v>
      </c>
      <c r="BU401" s="8">
        <v>967.73863386624794</v>
      </c>
      <c r="BV401" s="8">
        <v>451.87365883024029</v>
      </c>
      <c r="BW401" s="8">
        <v>1419.6122926964881</v>
      </c>
      <c r="BX401" s="8">
        <v>311.62096316130493</v>
      </c>
      <c r="BY401" s="8">
        <v>142.89714638976398</v>
      </c>
      <c r="BZ401" s="8">
        <v>454.5181095510689</v>
      </c>
      <c r="CA401" s="8">
        <v>0.15504844324564948</v>
      </c>
      <c r="CB401" s="8">
        <v>0.13690809353452624</v>
      </c>
      <c r="CC401" s="8">
        <v>6.5479154709604278E-13</v>
      </c>
      <c r="CD401" s="8">
        <v>5.1244555859690311E-13</v>
      </c>
      <c r="CE401" s="8">
        <v>-6.5369931689929217E-13</v>
      </c>
      <c r="CF401" s="8">
        <v>-5.1159076974727213E-13</v>
      </c>
      <c r="CG401" s="8">
        <v>1.0462363451196086</v>
      </c>
      <c r="CH401" s="8">
        <v>0.92272155859374994</v>
      </c>
      <c r="CI401" s="8">
        <v>126.86660954209536</v>
      </c>
      <c r="CJ401" s="8">
        <v>49.964572827024533</v>
      </c>
      <c r="CK401" s="8">
        <v>122.88612465684207</v>
      </c>
      <c r="CL401" s="8">
        <v>45.850423736461053</v>
      </c>
      <c r="CM401" s="8">
        <v>1249.9333065448877</v>
      </c>
      <c r="CN401" s="8">
        <v>150.37440000000015</v>
      </c>
      <c r="CO401" s="8">
        <v>6241.5243494771548</v>
      </c>
      <c r="CP401" s="8">
        <v>3692.7766283520828</v>
      </c>
    </row>
    <row r="402" spans="1:94" x14ac:dyDescent="0.2">
      <c r="A402" s="6" t="str">
        <f t="shared" si="165"/>
        <v>15- Clean Portfolio by 2045&amp;</v>
      </c>
      <c r="B402" s="6" t="str">
        <f>'Scenario List'!$A$17</f>
        <v>15- Clean Portfolio by 2045</v>
      </c>
      <c r="D402" s="8">
        <v>1005.3911942372147</v>
      </c>
      <c r="E402" s="8">
        <v>468.14924298904668</v>
      </c>
      <c r="F402" s="8">
        <v>1473.5404372262615</v>
      </c>
      <c r="G402" s="8">
        <v>337.41143913531818</v>
      </c>
      <c r="H402" s="8">
        <v>147.09582720833325</v>
      </c>
      <c r="I402" s="8">
        <v>484.50726634365139</v>
      </c>
      <c r="J402" s="8">
        <v>0.15970716467213811</v>
      </c>
      <c r="K402" s="8">
        <v>0.14053747648675982</v>
      </c>
      <c r="L402" s="8">
        <v>5.9785315169638691E-13</v>
      </c>
      <c r="M402" s="8">
        <v>5.5514935514664501E-13</v>
      </c>
      <c r="N402" s="8">
        <v>5.9685589803848416E-13</v>
      </c>
      <c r="O402" s="8">
        <v>5.5422333389287814E-13</v>
      </c>
      <c r="P402" s="8">
        <v>1.2237736143875511</v>
      </c>
      <c r="Q402" s="8">
        <v>1.0660718122558595</v>
      </c>
      <c r="R402" s="8">
        <v>126.26280573144665</v>
      </c>
      <c r="S402" s="8">
        <v>49.763118274032777</v>
      </c>
      <c r="T402" s="8">
        <v>122.27717222771862</v>
      </c>
      <c r="U402" s="8">
        <v>45.664797015128535</v>
      </c>
      <c r="V402" s="8">
        <v>1240.657765843285</v>
      </c>
      <c r="W402" s="8">
        <v>147.98046133422864</v>
      </c>
      <c r="X402" s="8">
        <v>6295.2166003396042</v>
      </c>
      <c r="Y402" s="8">
        <v>3722.8464877550446</v>
      </c>
      <c r="AA402" s="8">
        <v>1018.0347554821694</v>
      </c>
      <c r="AB402" s="8">
        <v>482.5615689557809</v>
      </c>
      <c r="AC402" s="8">
        <v>1500.5963244379504</v>
      </c>
      <c r="AD402" s="8">
        <v>332.98406784159641</v>
      </c>
      <c r="AE402" s="8">
        <v>161.50815317506746</v>
      </c>
      <c r="AF402" s="8">
        <v>494.49222101666385</v>
      </c>
      <c r="AG402" s="12">
        <v>0.16171560410284375</v>
      </c>
      <c r="AH402" s="12">
        <v>0.1448640282264084</v>
      </c>
      <c r="AI402" s="8">
        <v>1.4234598849913976E-14</v>
      </c>
      <c r="AJ402" s="8">
        <v>2.7045737814836552E-13</v>
      </c>
      <c r="AK402" s="8">
        <v>0</v>
      </c>
      <c r="AL402" s="8">
        <v>-2.7000623958883807E-13</v>
      </c>
      <c r="AM402" s="25">
        <v>1.0513423331375513</v>
      </c>
      <c r="AN402" s="25">
        <v>0.8936405310058595</v>
      </c>
      <c r="AO402" s="8">
        <v>126.26280573144665</v>
      </c>
      <c r="AP402" s="8">
        <v>49.763118274032777</v>
      </c>
      <c r="AQ402" s="8">
        <v>122.27717222771862</v>
      </c>
      <c r="AR402" s="8">
        <v>45.664797015128535</v>
      </c>
      <c r="AS402" s="8">
        <v>1240.660459683312</v>
      </c>
      <c r="AT402" s="8">
        <v>147.98046133422864</v>
      </c>
      <c r="AU402" s="8">
        <v>6295.2166003396042</v>
      </c>
      <c r="AV402" s="8">
        <v>3722.8464877550446</v>
      </c>
      <c r="AX402" s="8">
        <v>977.72310901510946</v>
      </c>
      <c r="AY402" s="8">
        <v>450.41929656181617</v>
      </c>
      <c r="AZ402" s="8">
        <v>1428.1424055769257</v>
      </c>
      <c r="BA402" s="8">
        <v>320.67161333607828</v>
      </c>
      <c r="BB402" s="8">
        <v>129.36588078110273</v>
      </c>
      <c r="BC402" s="8">
        <v>450.03749411718104</v>
      </c>
      <c r="BD402" s="8">
        <v>0.15531206804899531</v>
      </c>
      <c r="BE402" s="8">
        <v>0.13521498164896142</v>
      </c>
      <c r="BF402" s="8">
        <v>1.5658058734905374E-13</v>
      </c>
      <c r="BG402" s="8">
        <v>2.2775358159862362E-13</v>
      </c>
      <c r="BH402" s="8">
        <v>-1.5631940186722204E-13</v>
      </c>
      <c r="BI402" s="8">
        <v>2.2737367544323206E-13</v>
      </c>
      <c r="BJ402" s="8">
        <v>1.3365135609207544</v>
      </c>
      <c r="BK402" s="8">
        <v>1.1788117587890625</v>
      </c>
      <c r="BL402" s="8">
        <v>126.26280573144665</v>
      </c>
      <c r="BM402" s="8">
        <v>49.763118274032777</v>
      </c>
      <c r="BN402" s="8">
        <v>122.27717222771862</v>
      </c>
      <c r="BO402" s="8">
        <v>45.664797015128535</v>
      </c>
      <c r="BP402" s="8">
        <v>1244.9613052615118</v>
      </c>
      <c r="BQ402" s="8">
        <v>148.83331969604501</v>
      </c>
      <c r="BR402" s="8">
        <v>6295.2166003396042</v>
      </c>
      <c r="BS402" s="8">
        <v>3722.8464877550446</v>
      </c>
      <c r="BU402" s="8">
        <v>999.54796979500293</v>
      </c>
      <c r="BV402" s="8">
        <v>466.67981344995121</v>
      </c>
      <c r="BW402" s="8">
        <v>1466.227783244954</v>
      </c>
      <c r="BX402" s="8">
        <v>315.5962301452671</v>
      </c>
      <c r="BY402" s="8">
        <v>145.6263976692378</v>
      </c>
      <c r="BZ402" s="8">
        <v>461.2226278145049</v>
      </c>
      <c r="CA402" s="8">
        <v>0.15877896397418334</v>
      </c>
      <c r="CB402" s="8">
        <v>0.14009635664646902</v>
      </c>
      <c r="CC402" s="8">
        <v>4.8397636089707518E-13</v>
      </c>
      <c r="CD402" s="8">
        <v>8.5407593099483852E-14</v>
      </c>
      <c r="CE402" s="8">
        <v>4.8316906031686813E-13</v>
      </c>
      <c r="CF402" s="8">
        <v>0</v>
      </c>
      <c r="CG402" s="8">
        <v>1.0609497049637229</v>
      </c>
      <c r="CH402" s="8">
        <v>0.90324790283203116</v>
      </c>
      <c r="CI402" s="8">
        <v>126.26280573144665</v>
      </c>
      <c r="CJ402" s="8">
        <v>49.763118274032777</v>
      </c>
      <c r="CK402" s="8">
        <v>122.27717222771862</v>
      </c>
      <c r="CL402" s="8">
        <v>45.664797015128535</v>
      </c>
      <c r="CM402" s="8">
        <v>1253.9648700950318</v>
      </c>
      <c r="CN402" s="8">
        <v>150.19640000000015</v>
      </c>
      <c r="CO402" s="8">
        <v>6295.2166003396042</v>
      </c>
      <c r="CP402" s="8">
        <v>3722.8464877550446</v>
      </c>
    </row>
    <row r="403" spans="1:94" x14ac:dyDescent="0.2">
      <c r="A403" s="6" t="str">
        <f t="shared" si="165"/>
        <v>15- Clean Portfolio by 2045&amp;</v>
      </c>
      <c r="B403" s="6" t="str">
        <f>'Scenario List'!$A$17</f>
        <v>15- Clean Portfolio by 2045</v>
      </c>
      <c r="D403" s="8">
        <v>1050.2181834777623</v>
      </c>
      <c r="E403" s="8">
        <v>490.05852875586947</v>
      </c>
      <c r="F403" s="8">
        <v>1540.2767122336318</v>
      </c>
      <c r="G403" s="8">
        <v>350.12023308061032</v>
      </c>
      <c r="H403" s="8">
        <v>156.47354749569348</v>
      </c>
      <c r="I403" s="8">
        <v>506.5937805763038</v>
      </c>
      <c r="J403" s="8">
        <v>0.16526251172884646</v>
      </c>
      <c r="K403" s="8">
        <v>0.14571043240020817</v>
      </c>
      <c r="L403" s="8">
        <v>3.9856876779759127E-13</v>
      </c>
      <c r="M403" s="8">
        <v>3.7009957009776334E-13</v>
      </c>
      <c r="N403" s="8">
        <v>-3.979039320256561E-13</v>
      </c>
      <c r="O403" s="8">
        <v>-3.694822225952521E-13</v>
      </c>
      <c r="P403" s="8">
        <v>1.2081894007360188</v>
      </c>
      <c r="Q403" s="8">
        <v>1.0118859082767964</v>
      </c>
      <c r="R403" s="8">
        <v>172.80029261701227</v>
      </c>
      <c r="S403" s="8">
        <v>75.695299616521382</v>
      </c>
      <c r="T403" s="8">
        <v>166.14901095183933</v>
      </c>
      <c r="U403" s="8">
        <v>70.137720672128069</v>
      </c>
      <c r="V403" s="8">
        <v>1239.7217970699839</v>
      </c>
      <c r="W403" s="8">
        <v>148.9549134346166</v>
      </c>
      <c r="X403" s="8">
        <v>6354.8482501639692</v>
      </c>
      <c r="Y403" s="8">
        <v>3754.4065817186156</v>
      </c>
      <c r="AA403" s="8">
        <v>1064.3590880459942</v>
      </c>
      <c r="AB403" s="8">
        <v>505.5631080938594</v>
      </c>
      <c r="AC403" s="8">
        <v>1569.9221961398537</v>
      </c>
      <c r="AD403" s="8">
        <v>349.25007024052604</v>
      </c>
      <c r="AE403" s="8">
        <v>171.97812683368343</v>
      </c>
      <c r="AF403" s="8">
        <v>521.22819707420945</v>
      </c>
      <c r="AG403" s="12">
        <v>0.16748772687349872</v>
      </c>
      <c r="AH403" s="12">
        <v>0.15032045105503561</v>
      </c>
      <c r="AI403" s="8">
        <v>8.5407593099483852E-14</v>
      </c>
      <c r="AJ403" s="8">
        <v>8.1137213444509662E-13</v>
      </c>
      <c r="AK403" s="8">
        <v>0</v>
      </c>
      <c r="AL403" s="8">
        <v>-8.1001871876651421E-13</v>
      </c>
      <c r="AM403" s="25">
        <v>1.0608694394807068</v>
      </c>
      <c r="AN403" s="25">
        <v>0.86456594702148437</v>
      </c>
      <c r="AO403" s="8">
        <v>172.80029261701227</v>
      </c>
      <c r="AP403" s="8">
        <v>75.695299616521382</v>
      </c>
      <c r="AQ403" s="8">
        <v>166.14901095183933</v>
      </c>
      <c r="AR403" s="8">
        <v>70.137720672128069</v>
      </c>
      <c r="AS403" s="8">
        <v>1243.7857027722118</v>
      </c>
      <c r="AT403" s="8">
        <v>149.36430791451625</v>
      </c>
      <c r="AU403" s="8">
        <v>6354.8482501639692</v>
      </c>
      <c r="AV403" s="8">
        <v>3754.4065817186156</v>
      </c>
      <c r="AX403" s="8">
        <v>1022.2625099704831</v>
      </c>
      <c r="AY403" s="8">
        <v>472.11744264780214</v>
      </c>
      <c r="AZ403" s="8">
        <v>1494.3799526182852</v>
      </c>
      <c r="BA403" s="8">
        <v>331.32292440362954</v>
      </c>
      <c r="BB403" s="8">
        <v>138.53246138762611</v>
      </c>
      <c r="BC403" s="8">
        <v>469.85538579125569</v>
      </c>
      <c r="BD403" s="8">
        <v>0.16086340219754364</v>
      </c>
      <c r="BE403" s="8">
        <v>0.14037596057462309</v>
      </c>
      <c r="BF403" s="8">
        <v>2.7045737814836552E-13</v>
      </c>
      <c r="BG403" s="8">
        <v>1.708151861989677E-13</v>
      </c>
      <c r="BH403" s="8">
        <v>2.7000623958883807E-13</v>
      </c>
      <c r="BI403" s="8">
        <v>-1.7053025658242404E-13</v>
      </c>
      <c r="BJ403" s="8">
        <v>1.3007980348309722</v>
      </c>
      <c r="BK403" s="8">
        <v>1.1044945423717498</v>
      </c>
      <c r="BL403" s="8">
        <v>172.80029261701227</v>
      </c>
      <c r="BM403" s="8">
        <v>75.695299616521382</v>
      </c>
      <c r="BN403" s="8">
        <v>166.14901095183933</v>
      </c>
      <c r="BO403" s="8">
        <v>70.137720672128069</v>
      </c>
      <c r="BP403" s="8">
        <v>1238.2698655569516</v>
      </c>
      <c r="BQ403" s="8">
        <v>148.99839877558108</v>
      </c>
      <c r="BR403" s="8">
        <v>6354.8482501639692</v>
      </c>
      <c r="BS403" s="8">
        <v>3754.4065817186156</v>
      </c>
      <c r="BU403" s="8">
        <v>1044.3737101984257</v>
      </c>
      <c r="BV403" s="8">
        <v>488.30467993645686</v>
      </c>
      <c r="BW403" s="8">
        <v>1532.6783901348826</v>
      </c>
      <c r="BX403" s="8">
        <v>328.86696804800192</v>
      </c>
      <c r="BY403" s="8">
        <v>154.71969867628087</v>
      </c>
      <c r="BZ403" s="8">
        <v>483.58666672428279</v>
      </c>
      <c r="CA403" s="8">
        <v>0.16434282442094167</v>
      </c>
      <c r="CB403" s="8">
        <v>0.14518895577069213</v>
      </c>
      <c r="CC403" s="8">
        <v>2.4198818044853759E-13</v>
      </c>
      <c r="CD403" s="8">
        <v>5.9785315169638691E-13</v>
      </c>
      <c r="CE403" s="8">
        <v>2.4158453015843406E-13</v>
      </c>
      <c r="CF403" s="8">
        <v>-5.9685589803848416E-13</v>
      </c>
      <c r="CG403" s="8">
        <v>1.0560810490998473</v>
      </c>
      <c r="CH403" s="8">
        <v>0.85977755664062494</v>
      </c>
      <c r="CI403" s="8">
        <v>172.80029261701227</v>
      </c>
      <c r="CJ403" s="8">
        <v>75.695299616521382</v>
      </c>
      <c r="CK403" s="8">
        <v>166.14901095183933</v>
      </c>
      <c r="CL403" s="8">
        <v>70.137720672128069</v>
      </c>
      <c r="CM403" s="8">
        <v>1241.9191610616026</v>
      </c>
      <c r="CN403" s="8">
        <v>149.16400000000016</v>
      </c>
      <c r="CO403" s="8">
        <v>6354.8482501639692</v>
      </c>
      <c r="CP403" s="8">
        <v>3754.4065817186156</v>
      </c>
    </row>
    <row r="404" spans="1:94" x14ac:dyDescent="0.2">
      <c r="A404" s="6" t="str">
        <f t="shared" si="165"/>
        <v>15- Clean Portfolio by 2045&amp;</v>
      </c>
      <c r="B404" s="6" t="str">
        <f>'Scenario List'!$A$17</f>
        <v>15- Clean Portfolio by 2045</v>
      </c>
      <c r="D404" s="8">
        <v>1091.7621056296834</v>
      </c>
      <c r="E404" s="8">
        <v>509.68647973250353</v>
      </c>
      <c r="F404" s="8">
        <v>1601.448585362187</v>
      </c>
      <c r="G404" s="8">
        <v>361.04364431531229</v>
      </c>
      <c r="H404" s="8">
        <v>163.1496438450892</v>
      </c>
      <c r="I404" s="8">
        <v>524.19328816040149</v>
      </c>
      <c r="J404" s="8">
        <v>0.1701142834716351</v>
      </c>
      <c r="K404" s="8">
        <v>0.15008506477208983</v>
      </c>
      <c r="L404" s="8">
        <v>1.1387679079931181E-13</v>
      </c>
      <c r="M404" s="8">
        <v>6.9749534364578478E-13</v>
      </c>
      <c r="N404" s="8">
        <v>0</v>
      </c>
      <c r="O404" s="8">
        <v>6.9633188104489818E-13</v>
      </c>
      <c r="P404" s="8">
        <v>1.2239021351360144</v>
      </c>
      <c r="Q404" s="8">
        <v>0.98799723583984367</v>
      </c>
      <c r="R404" s="8">
        <v>172.09315287413318</v>
      </c>
      <c r="S404" s="8">
        <v>75.511480480099038</v>
      </c>
      <c r="T404" s="8">
        <v>165.45669977376573</v>
      </c>
      <c r="U404" s="8">
        <v>69.976287891193664</v>
      </c>
      <c r="V404" s="8">
        <v>1260.3273142754217</v>
      </c>
      <c r="W404" s="8">
        <v>151.26884293823252</v>
      </c>
      <c r="X404" s="8">
        <v>6417.8156198842889</v>
      </c>
      <c r="Y404" s="8">
        <v>3787.7263622000587</v>
      </c>
      <c r="AA404" s="8">
        <v>1110.5158856677065</v>
      </c>
      <c r="AB404" s="8">
        <v>527.36185079719417</v>
      </c>
      <c r="AC404" s="8">
        <v>1637.8777364649006</v>
      </c>
      <c r="AD404" s="8">
        <v>361.07930107110565</v>
      </c>
      <c r="AE404" s="8">
        <v>180.8250149097799</v>
      </c>
      <c r="AF404" s="8">
        <v>541.90431598088549</v>
      </c>
      <c r="AG404" s="12">
        <v>0.17303642725836502</v>
      </c>
      <c r="AH404" s="12">
        <v>0.15528985108014939</v>
      </c>
      <c r="AI404" s="8">
        <v>1.4234598849913974E-13</v>
      </c>
      <c r="AJ404" s="8">
        <v>3.4163037239793541E-13</v>
      </c>
      <c r="AK404" s="8">
        <v>0</v>
      </c>
      <c r="AL404" s="8">
        <v>-3.4106051316484809E-13</v>
      </c>
      <c r="AM404" s="25">
        <v>1.0453150787395302</v>
      </c>
      <c r="AN404" s="25">
        <v>0.80941017944335936</v>
      </c>
      <c r="AO404" s="8">
        <v>172.09315287413318</v>
      </c>
      <c r="AP404" s="8">
        <v>75.511480480099038</v>
      </c>
      <c r="AQ404" s="8">
        <v>165.45669977376573</v>
      </c>
      <c r="AR404" s="8">
        <v>69.976287891193664</v>
      </c>
      <c r="AS404" s="8">
        <v>1249.3634081477428</v>
      </c>
      <c r="AT404" s="8">
        <v>149.68317288685537</v>
      </c>
      <c r="AU404" s="8">
        <v>6417.8156198842889</v>
      </c>
      <c r="AV404" s="8">
        <v>3787.7263622000587</v>
      </c>
      <c r="AX404" s="8">
        <v>1066.4448258866285</v>
      </c>
      <c r="AY404" s="8">
        <v>492.89832408282808</v>
      </c>
      <c r="AZ404" s="8">
        <v>1559.3431499694566</v>
      </c>
      <c r="BA404" s="8">
        <v>345.51824578533564</v>
      </c>
      <c r="BB404" s="8">
        <v>146.36148819541376</v>
      </c>
      <c r="BC404" s="8">
        <v>491.87973398074939</v>
      </c>
      <c r="BD404" s="8">
        <v>0.16616943973623474</v>
      </c>
      <c r="BE404" s="8">
        <v>0.14514153276118022</v>
      </c>
      <c r="BF404" s="8">
        <v>3.5586497124784937E-13</v>
      </c>
      <c r="BG404" s="8">
        <v>0</v>
      </c>
      <c r="BH404" s="8">
        <v>3.5527136788005009E-13</v>
      </c>
      <c r="BI404" s="8">
        <v>0</v>
      </c>
      <c r="BJ404" s="8">
        <v>1.3199880901230636</v>
      </c>
      <c r="BK404" s="8">
        <v>1.0840831908268929</v>
      </c>
      <c r="BL404" s="8">
        <v>172.09315287413318</v>
      </c>
      <c r="BM404" s="8">
        <v>75.511480480099038</v>
      </c>
      <c r="BN404" s="8">
        <v>165.45669977376573</v>
      </c>
      <c r="BO404" s="8">
        <v>69.976287891193664</v>
      </c>
      <c r="BP404" s="8">
        <v>1250.5134775044946</v>
      </c>
      <c r="BQ404" s="8">
        <v>149.60454619750988</v>
      </c>
      <c r="BR404" s="8">
        <v>6417.8156198842889</v>
      </c>
      <c r="BS404" s="8">
        <v>3787.7263622000587</v>
      </c>
      <c r="BU404" s="8">
        <v>1089.4719678272418</v>
      </c>
      <c r="BV404" s="8">
        <v>509.91064762636154</v>
      </c>
      <c r="BW404" s="8">
        <v>1599.3826154536032</v>
      </c>
      <c r="BX404" s="8">
        <v>342.45870348411364</v>
      </c>
      <c r="BY404" s="8">
        <v>163.37381173894724</v>
      </c>
      <c r="BZ404" s="8">
        <v>505.83251522306091</v>
      </c>
      <c r="CA404" s="8">
        <v>0.16975744277410149</v>
      </c>
      <c r="CB404" s="8">
        <v>0.15015107447453899</v>
      </c>
      <c r="CC404" s="8">
        <v>9.9642191949397818E-14</v>
      </c>
      <c r="CD404" s="8">
        <v>3.8433416894767731E-13</v>
      </c>
      <c r="CE404" s="8">
        <v>0</v>
      </c>
      <c r="CF404" s="8">
        <v>3.836930773104541E-13</v>
      </c>
      <c r="CG404" s="8">
        <v>1.0675756026653114</v>
      </c>
      <c r="CH404" s="8">
        <v>0.83167070336914062</v>
      </c>
      <c r="CI404" s="8">
        <v>172.09315287413318</v>
      </c>
      <c r="CJ404" s="8">
        <v>75.511480480099038</v>
      </c>
      <c r="CK404" s="8">
        <v>165.45669977376573</v>
      </c>
      <c r="CL404" s="8">
        <v>69.976287891193664</v>
      </c>
      <c r="CM404" s="8">
        <v>1258.9354390958551</v>
      </c>
      <c r="CN404" s="8">
        <v>151.08225188198094</v>
      </c>
      <c r="CO404" s="8">
        <v>6417.8156198842889</v>
      </c>
      <c r="CP404" s="8">
        <v>3787.7263622000587</v>
      </c>
    </row>
    <row r="405" spans="1:94" x14ac:dyDescent="0.2">
      <c r="A405" s="6" t="str">
        <f t="shared" si="165"/>
        <v>15- Clean Portfolio by 2045&amp;</v>
      </c>
      <c r="B405" s="6" t="str">
        <f>'Scenario List'!$A$17</f>
        <v>15- Clean Portfolio by 2045</v>
      </c>
      <c r="D405" s="8">
        <v>1132.0680709003354</v>
      </c>
      <c r="E405" s="8">
        <v>525.61080727474075</v>
      </c>
      <c r="F405" s="8">
        <v>1657.6788781750761</v>
      </c>
      <c r="G405" s="8">
        <v>371.23540760173051</v>
      </c>
      <c r="H405" s="8">
        <v>165.87798914395168</v>
      </c>
      <c r="I405" s="8">
        <v>537.11339674568217</v>
      </c>
      <c r="J405" s="8">
        <v>0.17448889417081945</v>
      </c>
      <c r="K405" s="8">
        <v>0.15324181419727401</v>
      </c>
      <c r="L405" s="8">
        <v>2.5622277929845155E-13</v>
      </c>
      <c r="M405" s="8">
        <v>5.4091475629673104E-13</v>
      </c>
      <c r="N405" s="8">
        <v>-2.5579538487363607E-13</v>
      </c>
      <c r="O405" s="8">
        <v>-5.4001247917767614E-13</v>
      </c>
      <c r="P405" s="8">
        <v>1.0904342027305085</v>
      </c>
      <c r="Q405" s="8">
        <v>0.97487199072265618</v>
      </c>
      <c r="R405" s="8">
        <v>203.3091298599775</v>
      </c>
      <c r="S405" s="8">
        <v>92.97490213598104</v>
      </c>
      <c r="T405" s="8">
        <v>196.70030638604567</v>
      </c>
      <c r="U405" s="8">
        <v>87.472942289007079</v>
      </c>
      <c r="V405" s="8">
        <v>1080.4636919354773</v>
      </c>
      <c r="W405" s="8">
        <v>50.783301350519437</v>
      </c>
      <c r="X405" s="8">
        <v>6487.9090229781295</v>
      </c>
      <c r="Y405" s="8">
        <v>3823.0117056803024</v>
      </c>
      <c r="AA405" s="8">
        <v>1145.8099675593173</v>
      </c>
      <c r="AB405" s="8">
        <v>540.55079892125968</v>
      </c>
      <c r="AC405" s="8">
        <v>1686.360766480577</v>
      </c>
      <c r="AD405" s="8">
        <v>369.28257611311335</v>
      </c>
      <c r="AE405" s="8">
        <v>180.81798079047064</v>
      </c>
      <c r="AF405" s="8">
        <v>550.10055690358399</v>
      </c>
      <c r="AG405" s="12">
        <v>0.1766069720616025</v>
      </c>
      <c r="AH405" s="12">
        <v>0.15759756828816732</v>
      </c>
      <c r="AI405" s="8">
        <v>6.5479154709604278E-13</v>
      </c>
      <c r="AJ405" s="8">
        <v>5.1244555859690311E-13</v>
      </c>
      <c r="AK405" s="8">
        <v>6.5369931689929217E-13</v>
      </c>
      <c r="AL405" s="8">
        <v>-5.1159076974727213E-13</v>
      </c>
      <c r="AM405" s="25">
        <v>0.9451327229941805</v>
      </c>
      <c r="AN405" s="25">
        <v>0.82957051098632817</v>
      </c>
      <c r="AO405" s="8">
        <v>203.3091298599775</v>
      </c>
      <c r="AP405" s="8">
        <v>92.97490213598104</v>
      </c>
      <c r="AQ405" s="8">
        <v>196.70030638604567</v>
      </c>
      <c r="AR405" s="8">
        <v>87.472942289007079</v>
      </c>
      <c r="AS405" s="8">
        <v>1079.9778140554788</v>
      </c>
      <c r="AT405" s="8">
        <v>50.51286129247147</v>
      </c>
      <c r="AU405" s="8">
        <v>6487.9090229781295</v>
      </c>
      <c r="AV405" s="8">
        <v>3823.0117056803024</v>
      </c>
      <c r="AX405" s="8">
        <v>1108.0852479680293</v>
      </c>
      <c r="AY405" s="8">
        <v>509.46935171957824</v>
      </c>
      <c r="AZ405" s="8">
        <v>1617.5545996876076</v>
      </c>
      <c r="BA405" s="8">
        <v>357.81411667862972</v>
      </c>
      <c r="BB405" s="8">
        <v>149.73653358878917</v>
      </c>
      <c r="BC405" s="8">
        <v>507.55065026741886</v>
      </c>
      <c r="BD405" s="8">
        <v>0.17079235298206871</v>
      </c>
      <c r="BE405" s="8">
        <v>0.14853577334190624</v>
      </c>
      <c r="BF405" s="8">
        <v>2.1351898274870963E-13</v>
      </c>
      <c r="BG405" s="8">
        <v>4.2703796549741926E-14</v>
      </c>
      <c r="BH405" s="8">
        <v>-2.1316282072803006E-13</v>
      </c>
      <c r="BI405" s="8">
        <v>0</v>
      </c>
      <c r="BJ405" s="8">
        <v>1.1896978116668184</v>
      </c>
      <c r="BK405" s="8">
        <v>1.0741355996589661</v>
      </c>
      <c r="BL405" s="8">
        <v>203.3091298599775</v>
      </c>
      <c r="BM405" s="8">
        <v>92.97490213598104</v>
      </c>
      <c r="BN405" s="8">
        <v>196.70030638604567</v>
      </c>
      <c r="BO405" s="8">
        <v>87.472942289007079</v>
      </c>
      <c r="BP405" s="8">
        <v>1073.1251663815249</v>
      </c>
      <c r="BQ405" s="8">
        <v>51.24134995607109</v>
      </c>
      <c r="BR405" s="8">
        <v>6487.9090229781295</v>
      </c>
      <c r="BS405" s="8">
        <v>3823.0117056803024</v>
      </c>
      <c r="BU405" s="8">
        <v>1129.7300641463985</v>
      </c>
      <c r="BV405" s="8">
        <v>525.77478760290887</v>
      </c>
      <c r="BW405" s="8">
        <v>1655.5048517493074</v>
      </c>
      <c r="BX405" s="8">
        <v>353.08718701844896</v>
      </c>
      <c r="BY405" s="8">
        <v>166.04196947211972</v>
      </c>
      <c r="BZ405" s="8">
        <v>519.12915649056868</v>
      </c>
      <c r="CA405" s="8">
        <v>0.17412853049345337</v>
      </c>
      <c r="CB405" s="8">
        <v>0.15328962265675269</v>
      </c>
      <c r="CC405" s="8">
        <v>4.8397636089707518E-13</v>
      </c>
      <c r="CD405" s="8">
        <v>2.7045737814836552E-13</v>
      </c>
      <c r="CE405" s="8">
        <v>4.8316906031686813E-13</v>
      </c>
      <c r="CF405" s="8">
        <v>2.7000623958883807E-13</v>
      </c>
      <c r="CG405" s="8">
        <v>0.94386112651094978</v>
      </c>
      <c r="CH405" s="8">
        <v>0.82829891450309745</v>
      </c>
      <c r="CI405" s="8">
        <v>203.3091298599775</v>
      </c>
      <c r="CJ405" s="8">
        <v>92.97490213598104</v>
      </c>
      <c r="CK405" s="8">
        <v>196.70030638604567</v>
      </c>
      <c r="CL405" s="8">
        <v>87.472942289007079</v>
      </c>
      <c r="CM405" s="8">
        <v>1446.6621647738282</v>
      </c>
      <c r="CN405" s="8">
        <v>255.81969223766592</v>
      </c>
      <c r="CO405" s="8">
        <v>6487.9090229781295</v>
      </c>
      <c r="CP405" s="8">
        <v>3823.0117056803024</v>
      </c>
    </row>
    <row r="406" spans="1:94" x14ac:dyDescent="0.2">
      <c r="A406" s="6" t="str">
        <f t="shared" si="165"/>
        <v>15- Clean Portfolio by 2045&amp;</v>
      </c>
      <c r="B406" s="6" t="str">
        <f>'Scenario List'!$A$17</f>
        <v>15- Clean Portfolio by 2045</v>
      </c>
      <c r="D406" s="8">
        <v>1174.9064704203097</v>
      </c>
      <c r="E406" s="8">
        <v>537.24703148390086</v>
      </c>
      <c r="F406" s="8">
        <v>1712.1535019042105</v>
      </c>
      <c r="G406" s="8">
        <v>377.38905734990402</v>
      </c>
      <c r="H406" s="8">
        <v>163.48947958679088</v>
      </c>
      <c r="I406" s="8">
        <v>540.8785369366949</v>
      </c>
      <c r="J406" s="8">
        <v>0.17921055601157637</v>
      </c>
      <c r="K406" s="8">
        <v>0.15484519013528683</v>
      </c>
      <c r="L406" s="8">
        <v>5.2668015744681708E-13</v>
      </c>
      <c r="M406" s="8">
        <v>5.4091475629673104E-13</v>
      </c>
      <c r="N406" s="8">
        <v>-5.2580162446247414E-13</v>
      </c>
      <c r="O406" s="8">
        <v>5.4001247917767614E-13</v>
      </c>
      <c r="P406" s="8">
        <v>1.1172000061983784</v>
      </c>
      <c r="Q406" s="8">
        <v>0.92369583593749993</v>
      </c>
      <c r="R406" s="8">
        <v>271.86515062875577</v>
      </c>
      <c r="S406" s="8">
        <v>118.95866527491563</v>
      </c>
      <c r="T406" s="8">
        <v>263.93254543509863</v>
      </c>
      <c r="U406" s="8">
        <v>111.98364017618552</v>
      </c>
      <c r="V406" s="8">
        <v>1479.4385805827706</v>
      </c>
      <c r="W406" s="8">
        <v>48.716771986779911</v>
      </c>
      <c r="X406" s="8">
        <v>6556.0115239216984</v>
      </c>
      <c r="Y406" s="8">
        <v>3861.5133087475083</v>
      </c>
      <c r="AA406" s="8">
        <v>1190.0660482132662</v>
      </c>
      <c r="AB406" s="8">
        <v>557.01421272439461</v>
      </c>
      <c r="AC406" s="8">
        <v>1747.0802609376608</v>
      </c>
      <c r="AD406" s="8">
        <v>375.80857505868642</v>
      </c>
      <c r="AE406" s="8">
        <v>183.25666082728452</v>
      </c>
      <c r="AF406" s="8">
        <v>559.06523588597088</v>
      </c>
      <c r="AG406" s="12">
        <v>0.18152287314793922</v>
      </c>
      <c r="AH406" s="12">
        <v>0.16054248161992979</v>
      </c>
      <c r="AI406" s="8">
        <v>4.4127256434733322E-13</v>
      </c>
      <c r="AJ406" s="8">
        <v>8.2560673329501058E-13</v>
      </c>
      <c r="AK406" s="8">
        <v>-4.4053649617126212E-13</v>
      </c>
      <c r="AL406" s="8">
        <v>-8.2422957348171622E-13</v>
      </c>
      <c r="AM406" s="25">
        <v>0.96762329526087854</v>
      </c>
      <c r="AN406" s="25">
        <v>0.77411912499999991</v>
      </c>
      <c r="AO406" s="8">
        <v>271.86515062875577</v>
      </c>
      <c r="AP406" s="8">
        <v>118.95866527491563</v>
      </c>
      <c r="AQ406" s="8">
        <v>263.93254543509863</v>
      </c>
      <c r="AR406" s="8">
        <v>111.98364017618552</v>
      </c>
      <c r="AS406" s="8">
        <v>1481.6575041987435</v>
      </c>
      <c r="AT406" s="8">
        <v>51.089166311658929</v>
      </c>
      <c r="AU406" s="8">
        <v>6556.0115239216984</v>
      </c>
      <c r="AV406" s="8">
        <v>3861.5133087475083</v>
      </c>
      <c r="AX406" s="8">
        <v>1148.9281678414495</v>
      </c>
      <c r="AY406" s="8">
        <v>518.93586827549279</v>
      </c>
      <c r="AZ406" s="8">
        <v>1667.8640361169423</v>
      </c>
      <c r="BA406" s="8">
        <v>363.19977762583488</v>
      </c>
      <c r="BB406" s="8">
        <v>145.17831637838279</v>
      </c>
      <c r="BC406" s="8">
        <v>508.3780940042177</v>
      </c>
      <c r="BD406" s="8">
        <v>0.17524803970359398</v>
      </c>
      <c r="BE406" s="8">
        <v>0.14956755176328368</v>
      </c>
      <c r="BF406" s="8">
        <v>1.4234598849913976E-14</v>
      </c>
      <c r="BG406" s="8">
        <v>3.4163037239793541E-13</v>
      </c>
      <c r="BH406" s="8">
        <v>0</v>
      </c>
      <c r="BI406" s="8">
        <v>-3.4106051316484809E-13</v>
      </c>
      <c r="BJ406" s="8">
        <v>1.2244957405733787</v>
      </c>
      <c r="BK406" s="8">
        <v>1.0309915703125001</v>
      </c>
      <c r="BL406" s="8">
        <v>271.86515062875577</v>
      </c>
      <c r="BM406" s="8">
        <v>118.95866527491563</v>
      </c>
      <c r="BN406" s="8">
        <v>263.93254543509863</v>
      </c>
      <c r="BO406" s="8">
        <v>111.98364017618552</v>
      </c>
      <c r="BP406" s="8">
        <v>1481.072715001296</v>
      </c>
      <c r="BQ406" s="8">
        <v>49.62087063628703</v>
      </c>
      <c r="BR406" s="8">
        <v>6556.0115239216984</v>
      </c>
      <c r="BS406" s="8">
        <v>3861.5133087475083</v>
      </c>
      <c r="BU406" s="8">
        <v>1177.5824853633965</v>
      </c>
      <c r="BV406" s="8">
        <v>540.79312137997761</v>
      </c>
      <c r="BW406" s="8">
        <v>1718.3756067433742</v>
      </c>
      <c r="BX406" s="8">
        <v>362.01078998503016</v>
      </c>
      <c r="BY406" s="8">
        <v>167.03556948286771</v>
      </c>
      <c r="BZ406" s="8">
        <v>529.0463594678979</v>
      </c>
      <c r="CA406" s="8">
        <v>0.17961873329029568</v>
      </c>
      <c r="CB406" s="8">
        <v>0.15586724317982056</v>
      </c>
      <c r="CC406" s="8">
        <v>2.7045737814836552E-13</v>
      </c>
      <c r="CD406" s="8">
        <v>3.4163037239793541E-13</v>
      </c>
      <c r="CE406" s="8">
        <v>-2.7000623958883807E-13</v>
      </c>
      <c r="CF406" s="8">
        <v>3.4106051316484809E-13</v>
      </c>
      <c r="CG406" s="8">
        <v>0.95558342026087861</v>
      </c>
      <c r="CH406" s="8">
        <v>0.76207924999999999</v>
      </c>
      <c r="CI406" s="8">
        <v>271.86515062875577</v>
      </c>
      <c r="CJ406" s="8">
        <v>118.95866527491563</v>
      </c>
      <c r="CK406" s="8">
        <v>263.93254543509863</v>
      </c>
      <c r="CL406" s="8">
        <v>111.98364017618552</v>
      </c>
      <c r="CM406" s="8">
        <v>1832.1998225661871</v>
      </c>
      <c r="CN406" s="8">
        <v>256.4392568253179</v>
      </c>
      <c r="CO406" s="8">
        <v>6556.0115239216984</v>
      </c>
      <c r="CP406" s="8">
        <v>3861.5133087475083</v>
      </c>
    </row>
    <row r="407" spans="1:94" x14ac:dyDescent="0.2">
      <c r="A407" s="6" t="str">
        <f t="shared" si="165"/>
        <v>15- Clean Portfolio by 2045&amp;</v>
      </c>
      <c r="B407" s="6" t="str">
        <f>'Scenario List'!$A$17</f>
        <v>15- Clean Portfolio by 2045</v>
      </c>
      <c r="D407" s="8">
        <v>1269.8914550598065</v>
      </c>
      <c r="E407" s="8">
        <v>600.4610994133202</v>
      </c>
      <c r="F407" s="8">
        <v>1870.3525544731267</v>
      </c>
      <c r="G407" s="8">
        <v>394.06484301786008</v>
      </c>
      <c r="H407" s="8">
        <v>212.02212654585185</v>
      </c>
      <c r="I407" s="8">
        <v>606.08696956371193</v>
      </c>
      <c r="J407" s="8">
        <v>0.19146881626359649</v>
      </c>
      <c r="K407" s="8">
        <v>0.17103497056694011</v>
      </c>
      <c r="L407" s="8">
        <v>5.1244555859690311E-13</v>
      </c>
      <c r="M407" s="8">
        <v>3.7009957009776334E-13</v>
      </c>
      <c r="N407" s="8">
        <v>-5.1159076974727213E-13</v>
      </c>
      <c r="O407" s="8">
        <v>-3.694822225952521E-13</v>
      </c>
      <c r="P407" s="8">
        <v>0.69683708791704058</v>
      </c>
      <c r="Q407" s="8">
        <v>0.56210357031250002</v>
      </c>
      <c r="R407" s="8">
        <v>482.06513439840791</v>
      </c>
      <c r="S407" s="8">
        <v>250.64246244385188</v>
      </c>
      <c r="T407" s="8">
        <v>464.67270642757114</v>
      </c>
      <c r="U407" s="8">
        <v>240.33304723464047</v>
      </c>
      <c r="V407" s="8">
        <v>1789.9943856428763</v>
      </c>
      <c r="W407" s="8">
        <v>372.49932386123339</v>
      </c>
      <c r="X407" s="8">
        <v>6632.3669819504075</v>
      </c>
      <c r="Y407" s="8">
        <v>3902.319268812761</v>
      </c>
      <c r="AA407" s="8">
        <v>1281.9165151361917</v>
      </c>
      <c r="AB407" s="8">
        <v>615.72125663169516</v>
      </c>
      <c r="AC407" s="8">
        <v>1897.637771767887</v>
      </c>
      <c r="AD407" s="8">
        <v>392.88103276098747</v>
      </c>
      <c r="AE407" s="8">
        <v>227.28228376422669</v>
      </c>
      <c r="AF407" s="8">
        <v>620.16331652521421</v>
      </c>
      <c r="AG407" s="12">
        <v>0.19328190352325969</v>
      </c>
      <c r="AH407" s="12">
        <v>0.17538166437148758</v>
      </c>
      <c r="AI407" s="8">
        <v>3.1316117469810747E-13</v>
      </c>
      <c r="AJ407" s="8">
        <v>3.5586497124784937E-13</v>
      </c>
      <c r="AK407" s="8">
        <v>3.1263880373444408E-13</v>
      </c>
      <c r="AL407" s="8">
        <v>3.5527136788005009E-13</v>
      </c>
      <c r="AM407" s="25">
        <v>0.57980061135454053</v>
      </c>
      <c r="AN407" s="25">
        <v>0.44506709374999998</v>
      </c>
      <c r="AO407" s="8">
        <v>482.06513439840791</v>
      </c>
      <c r="AP407" s="8">
        <v>250.64246244385188</v>
      </c>
      <c r="AQ407" s="8">
        <v>464.67270642757114</v>
      </c>
      <c r="AR407" s="8">
        <v>240.33304723464047</v>
      </c>
      <c r="AS407" s="8">
        <v>1807.2823007481229</v>
      </c>
      <c r="AT407" s="8">
        <v>386.12853258715455</v>
      </c>
      <c r="AU407" s="8">
        <v>6632.3669819504075</v>
      </c>
      <c r="AV407" s="8">
        <v>3902.319268812761</v>
      </c>
      <c r="AX407" s="8">
        <v>1247.692537615656</v>
      </c>
      <c r="AY407" s="8">
        <v>584.89059085233521</v>
      </c>
      <c r="AZ407" s="8">
        <v>1832.5831284679912</v>
      </c>
      <c r="BA407" s="8">
        <v>380.28567126963907</v>
      </c>
      <c r="BB407" s="8">
        <v>196.45161798486672</v>
      </c>
      <c r="BC407" s="8">
        <v>576.73728925450575</v>
      </c>
      <c r="BD407" s="8">
        <v>0.18812175819148383</v>
      </c>
      <c r="BE407" s="8">
        <v>0.1665998764766779</v>
      </c>
      <c r="BF407" s="8">
        <v>2.9892657584819346E-13</v>
      </c>
      <c r="BG407" s="8">
        <v>9.9642191949397818E-14</v>
      </c>
      <c r="BH407" s="8">
        <v>-2.9842794901924208E-13</v>
      </c>
      <c r="BI407" s="8">
        <v>0</v>
      </c>
      <c r="BJ407" s="8">
        <v>0.77273874416704058</v>
      </c>
      <c r="BK407" s="8">
        <v>0.63800522656250003</v>
      </c>
      <c r="BL407" s="8">
        <v>482.06513439840791</v>
      </c>
      <c r="BM407" s="8">
        <v>250.64246244385188</v>
      </c>
      <c r="BN407" s="8">
        <v>464.67270642757114</v>
      </c>
      <c r="BO407" s="8">
        <v>240.33304723464047</v>
      </c>
      <c r="BP407" s="8">
        <v>1791.1966415149232</v>
      </c>
      <c r="BQ407" s="8">
        <v>373.4202549093298</v>
      </c>
      <c r="BR407" s="8">
        <v>6632.3669819504075</v>
      </c>
      <c r="BS407" s="8">
        <v>3902.319268812761</v>
      </c>
      <c r="BU407" s="8">
        <v>1265.108114340426</v>
      </c>
      <c r="BV407" s="8">
        <v>600.1261254565834</v>
      </c>
      <c r="BW407" s="8">
        <v>1865.2342397970094</v>
      </c>
      <c r="BX407" s="8">
        <v>379.44647461041268</v>
      </c>
      <c r="BY407" s="8">
        <v>211.68715258911502</v>
      </c>
      <c r="BZ407" s="8">
        <v>591.13362719952772</v>
      </c>
      <c r="CA407" s="8">
        <v>0.1907476045555595</v>
      </c>
      <c r="CB407" s="8">
        <v>0.17093955679094838</v>
      </c>
      <c r="CC407" s="8">
        <v>1.4234598849913974E-13</v>
      </c>
      <c r="CD407" s="8">
        <v>8.5407593099483852E-14</v>
      </c>
      <c r="CE407" s="8">
        <v>-1.4210854715202004E-13</v>
      </c>
      <c r="CF407" s="8">
        <v>0</v>
      </c>
      <c r="CG407" s="8">
        <v>0.60589244338579062</v>
      </c>
      <c r="CH407" s="8">
        <v>0.47115892578125002</v>
      </c>
      <c r="CI407" s="8">
        <v>482.06513439840791</v>
      </c>
      <c r="CJ407" s="8">
        <v>250.64246244385188</v>
      </c>
      <c r="CK407" s="8">
        <v>464.67270642757114</v>
      </c>
      <c r="CL407" s="8">
        <v>240.33304723464047</v>
      </c>
      <c r="CM407" s="8">
        <v>2185.1249642266421</v>
      </c>
      <c r="CN407" s="8">
        <v>586.66854532693799</v>
      </c>
      <c r="CO407" s="8">
        <v>6632.3669819504075</v>
      </c>
      <c r="CP407" s="8">
        <v>3902.319268812761</v>
      </c>
    </row>
    <row r="408" spans="1:94" x14ac:dyDescent="0.2">
      <c r="A408" s="6" t="str">
        <f t="shared" si="165"/>
        <v>15- Clean Portfolio by 2045&amp;</v>
      </c>
      <c r="B408" s="6" t="str">
        <f>'Scenario List'!$A$17</f>
        <v>15- Clean Portfolio by 2045</v>
      </c>
      <c r="D408" s="8">
        <v>1348.7565645435968</v>
      </c>
      <c r="E408" s="8">
        <v>640.38134229497666</v>
      </c>
      <c r="F408" s="8">
        <v>1989.1379068385736</v>
      </c>
      <c r="G408" s="8">
        <v>438.68087699254204</v>
      </c>
      <c r="H408" s="8">
        <v>236.88866335456308</v>
      </c>
      <c r="I408" s="8">
        <v>675.56954034710509</v>
      </c>
      <c r="J408" s="8">
        <v>0.20087218242689001</v>
      </c>
      <c r="K408" s="8">
        <v>0.18016272561054134</v>
      </c>
      <c r="L408" s="8">
        <v>2.5622277929845155E-13</v>
      </c>
      <c r="M408" s="8">
        <v>1.4234598849913976E-14</v>
      </c>
      <c r="N408" s="8">
        <v>-2.5579538487363607E-13</v>
      </c>
      <c r="O408" s="8">
        <v>0</v>
      </c>
      <c r="P408" s="8">
        <v>0.65855602872823615</v>
      </c>
      <c r="Q408" s="8">
        <v>0.56835262499999994</v>
      </c>
      <c r="R408" s="8">
        <v>543.03839411310025</v>
      </c>
      <c r="S408" s="8">
        <v>256.65197834694914</v>
      </c>
      <c r="T408" s="8">
        <v>529.33859883158709</v>
      </c>
      <c r="U408" s="8">
        <v>250.03634214659857</v>
      </c>
      <c r="V408" s="8">
        <v>1815.6154260002263</v>
      </c>
      <c r="W408" s="8">
        <v>696.17151865913888</v>
      </c>
      <c r="X408" s="8">
        <v>6714.5014717729473</v>
      </c>
      <c r="Y408" s="8">
        <v>3946.0840916698371</v>
      </c>
      <c r="AA408" s="8">
        <v>1360.0814194339034</v>
      </c>
      <c r="AB408" s="8">
        <v>655.61409286178491</v>
      </c>
      <c r="AC408" s="8">
        <v>2015.6955122956883</v>
      </c>
      <c r="AD408" s="8">
        <v>434.24625205282888</v>
      </c>
      <c r="AE408" s="8">
        <v>252.12141392137138</v>
      </c>
      <c r="AF408" s="8">
        <v>686.36766597420024</v>
      </c>
      <c r="AG408" s="12">
        <v>0.20255880874425922</v>
      </c>
      <c r="AH408" s="12">
        <v>0.18444825624581326</v>
      </c>
      <c r="AI408" s="8">
        <v>2.1351898274870963E-13</v>
      </c>
      <c r="AJ408" s="8">
        <v>3.7009957009776334E-13</v>
      </c>
      <c r="AK408" s="8">
        <v>-2.1316282072803006E-13</v>
      </c>
      <c r="AL408" s="8">
        <v>-3.694822225952521E-13</v>
      </c>
      <c r="AM408" s="25">
        <v>0.52437062638448628</v>
      </c>
      <c r="AN408" s="25">
        <v>0.43416722265625002</v>
      </c>
      <c r="AO408" s="8">
        <v>543.03839411310025</v>
      </c>
      <c r="AP408" s="8">
        <v>256.65197834694914</v>
      </c>
      <c r="AQ408" s="8">
        <v>529.33859883158709</v>
      </c>
      <c r="AR408" s="8">
        <v>250.03634214659857</v>
      </c>
      <c r="AS408" s="8">
        <v>1872.9736598129734</v>
      </c>
      <c r="AT408" s="8">
        <v>733.41790048328971</v>
      </c>
      <c r="AU408" s="8">
        <v>6714.5014717729473</v>
      </c>
      <c r="AV408" s="8">
        <v>3946.0840916698371</v>
      </c>
      <c r="AX408" s="8">
        <v>1323.6511180150092</v>
      </c>
      <c r="AY408" s="8">
        <v>623.22257764485255</v>
      </c>
      <c r="AZ408" s="8">
        <v>1946.8736956598618</v>
      </c>
      <c r="BA408" s="8">
        <v>422.93687790473587</v>
      </c>
      <c r="BB408" s="8">
        <v>219.72989870443897</v>
      </c>
      <c r="BC408" s="8">
        <v>642.6667766091748</v>
      </c>
      <c r="BD408" s="8">
        <v>0.19713319351846123</v>
      </c>
      <c r="BE408" s="8">
        <v>0.17533533667319748</v>
      </c>
      <c r="BF408" s="8">
        <v>2.6334007872340854E-13</v>
      </c>
      <c r="BG408" s="8">
        <v>3.5586497124784937E-13</v>
      </c>
      <c r="BH408" s="8">
        <v>2.6290081223123707E-13</v>
      </c>
      <c r="BI408" s="8">
        <v>3.5527136788005009E-13</v>
      </c>
      <c r="BJ408" s="8">
        <v>0.73964738810323616</v>
      </c>
      <c r="BK408" s="8">
        <v>0.64944398437499995</v>
      </c>
      <c r="BL408" s="8">
        <v>543.03839411310025</v>
      </c>
      <c r="BM408" s="8">
        <v>256.65197834694914</v>
      </c>
      <c r="BN408" s="8">
        <v>529.33859883158709</v>
      </c>
      <c r="BO408" s="8">
        <v>250.03634214659857</v>
      </c>
      <c r="BP408" s="8">
        <v>1827.3578796498357</v>
      </c>
      <c r="BQ408" s="8">
        <v>701.45664833380727</v>
      </c>
      <c r="BR408" s="8">
        <v>6714.5014717729473</v>
      </c>
      <c r="BS408" s="8">
        <v>3946.0840916698371</v>
      </c>
      <c r="BU408" s="8">
        <v>1346.412325361488</v>
      </c>
      <c r="BV408" s="8">
        <v>640.95331640794393</v>
      </c>
      <c r="BW408" s="8">
        <v>1987.3656417694319</v>
      </c>
      <c r="BX408" s="8">
        <v>423.58579971499387</v>
      </c>
      <c r="BY408" s="8">
        <v>237.46063746753032</v>
      </c>
      <c r="BZ408" s="8">
        <v>661.04643718252419</v>
      </c>
      <c r="CA408" s="8">
        <v>0.20052305164004547</v>
      </c>
      <c r="CB408" s="8">
        <v>0.18032364287712119</v>
      </c>
      <c r="CC408" s="8">
        <v>1.5658058734905374E-13</v>
      </c>
      <c r="CD408" s="8">
        <v>5.9785315169638691E-13</v>
      </c>
      <c r="CE408" s="8">
        <v>1.5631940186722204E-13</v>
      </c>
      <c r="CF408" s="8">
        <v>-5.9685589803848416E-13</v>
      </c>
      <c r="CG408" s="8">
        <v>0.54689638810323626</v>
      </c>
      <c r="CH408" s="8">
        <v>0.45669298437500006</v>
      </c>
      <c r="CI408" s="8">
        <v>543.03839411310025</v>
      </c>
      <c r="CJ408" s="8">
        <v>256.65197834694914</v>
      </c>
      <c r="CK408" s="8">
        <v>529.33859883158709</v>
      </c>
      <c r="CL408" s="8">
        <v>250.03634214659857</v>
      </c>
      <c r="CM408" s="8">
        <v>2848.1264964708716</v>
      </c>
      <c r="CN408" s="8">
        <v>907.67154234202133</v>
      </c>
      <c r="CO408" s="8">
        <v>6714.5014717729473</v>
      </c>
      <c r="CP408" s="8">
        <v>3946.0840916698371</v>
      </c>
    </row>
    <row r="409" spans="1:94" x14ac:dyDescent="0.2">
      <c r="A409" s="6" t="str">
        <f t="shared" si="165"/>
        <v>15- Clean Portfolio by 2045&amp;</v>
      </c>
      <c r="B409" s="6" t="str">
        <f>'Scenario List'!$A$17</f>
        <v>15- Clean Portfolio by 2045</v>
      </c>
      <c r="D409" s="8">
        <v>1415.4509961480517</v>
      </c>
      <c r="E409" s="8">
        <v>670.23984814361233</v>
      </c>
      <c r="F409" s="8">
        <v>2085.6908442916638</v>
      </c>
      <c r="G409" s="8">
        <v>475.87388591477776</v>
      </c>
      <c r="H409" s="8">
        <v>251.11250380774408</v>
      </c>
      <c r="I409" s="8">
        <v>726.98638972252184</v>
      </c>
      <c r="J409" s="8">
        <v>0.20795387189822087</v>
      </c>
      <c r="K409" s="8">
        <v>0.18614898842206773</v>
      </c>
      <c r="L409" s="8">
        <v>1.4234598849913976E-14</v>
      </c>
      <c r="M409" s="8">
        <v>1.1387679079931181E-13</v>
      </c>
      <c r="N409" s="8">
        <v>0</v>
      </c>
      <c r="O409" s="8">
        <v>1.1368683772161603E-13</v>
      </c>
      <c r="P409" s="8">
        <v>0.63191065231730781</v>
      </c>
      <c r="Q409" s="8">
        <v>0.61922414843749995</v>
      </c>
      <c r="R409" s="8">
        <v>560.41770760691463</v>
      </c>
      <c r="S409" s="8">
        <v>263.41124911903358</v>
      </c>
      <c r="T409" s="8">
        <v>550.35251104831332</v>
      </c>
      <c r="U409" s="8">
        <v>256.75245366763858</v>
      </c>
      <c r="V409" s="8">
        <v>2290.7347043695363</v>
      </c>
      <c r="W409" s="8">
        <v>778.13826218250722</v>
      </c>
      <c r="X409" s="8">
        <v>6806.5623555247757</v>
      </c>
      <c r="Y409" s="8">
        <v>3993.5459022046771</v>
      </c>
      <c r="AA409" s="8">
        <v>1416.3684122337841</v>
      </c>
      <c r="AB409" s="8">
        <v>682.13465142734719</v>
      </c>
      <c r="AC409" s="8">
        <v>2098.5030636611314</v>
      </c>
      <c r="AD409" s="8">
        <v>458.87961443241204</v>
      </c>
      <c r="AE409" s="8">
        <v>263.00730709147899</v>
      </c>
      <c r="AF409" s="8">
        <v>721.88692152389103</v>
      </c>
      <c r="AG409" s="12">
        <v>0.2080886559548141</v>
      </c>
      <c r="AH409" s="12">
        <v>0.18945259026680955</v>
      </c>
      <c r="AI409" s="8">
        <v>1.4234598849913976E-14</v>
      </c>
      <c r="AJ409" s="8">
        <v>3.7009957009776334E-13</v>
      </c>
      <c r="AK409" s="8">
        <v>0</v>
      </c>
      <c r="AL409" s="8">
        <v>-3.694822225952521E-13</v>
      </c>
      <c r="AM409" s="25">
        <v>0.4832623671610578</v>
      </c>
      <c r="AN409" s="25">
        <v>0.47057586328124995</v>
      </c>
      <c r="AO409" s="8">
        <v>560.41770760691463</v>
      </c>
      <c r="AP409" s="8">
        <v>263.41124911903358</v>
      </c>
      <c r="AQ409" s="8">
        <v>550.35251104831332</v>
      </c>
      <c r="AR409" s="8">
        <v>256.75245366763858</v>
      </c>
      <c r="AS409" s="8">
        <v>2524.2648413892525</v>
      </c>
      <c r="AT409" s="8">
        <v>915.19786433257912</v>
      </c>
      <c r="AU409" s="8">
        <v>6806.5623555247757</v>
      </c>
      <c r="AV409" s="8">
        <v>3993.5459022046771</v>
      </c>
      <c r="AX409" s="8">
        <v>1393.8001931568315</v>
      </c>
      <c r="AY409" s="8">
        <v>653.40223004398513</v>
      </c>
      <c r="AZ409" s="8">
        <v>2047.2024232008166</v>
      </c>
      <c r="BA409" s="8">
        <v>464.9593550348377</v>
      </c>
      <c r="BB409" s="8">
        <v>234.27488570811684</v>
      </c>
      <c r="BC409" s="8">
        <v>699.23424074295451</v>
      </c>
      <c r="BD409" s="8">
        <v>0.2047729999895625</v>
      </c>
      <c r="BE409" s="8">
        <v>0.1814725944634514</v>
      </c>
      <c r="BF409" s="8">
        <v>7.8290293674526868E-14</v>
      </c>
      <c r="BG409" s="8">
        <v>1.9928438389879564E-13</v>
      </c>
      <c r="BH409" s="8">
        <v>7.815970093361102E-14</v>
      </c>
      <c r="BI409" s="8">
        <v>1.9895196601282805E-13</v>
      </c>
      <c r="BJ409" s="8">
        <v>0.72310310544230783</v>
      </c>
      <c r="BK409" s="8">
        <v>0.71041660156249997</v>
      </c>
      <c r="BL409" s="8">
        <v>560.41770760691463</v>
      </c>
      <c r="BM409" s="8">
        <v>263.41124911903358</v>
      </c>
      <c r="BN409" s="8">
        <v>550.35251104831332</v>
      </c>
      <c r="BO409" s="8">
        <v>256.75245366763858</v>
      </c>
      <c r="BP409" s="8">
        <v>2265.4813105347816</v>
      </c>
      <c r="BQ409" s="8">
        <v>763.73104575474918</v>
      </c>
      <c r="BR409" s="8">
        <v>6806.5623555247757</v>
      </c>
      <c r="BS409" s="8">
        <v>3993.5459022046771</v>
      </c>
      <c r="BU409" s="8">
        <v>1412.5223644760101</v>
      </c>
      <c r="BV409" s="8">
        <v>671.00404765482915</v>
      </c>
      <c r="BW409" s="8">
        <v>2083.5264121308392</v>
      </c>
      <c r="BX409" s="8">
        <v>457.25115355356252</v>
      </c>
      <c r="BY409" s="8">
        <v>251.87670331896081</v>
      </c>
      <c r="BZ409" s="8">
        <v>709.12785687252335</v>
      </c>
      <c r="CA409" s="8">
        <v>0.20752360599906775</v>
      </c>
      <c r="CB409" s="8">
        <v>0.18636123328688686</v>
      </c>
      <c r="CC409" s="8">
        <v>3.9856876779759127E-13</v>
      </c>
      <c r="CD409" s="8">
        <v>3.1316117469810747E-13</v>
      </c>
      <c r="CE409" s="8">
        <v>3.979039320256561E-13</v>
      </c>
      <c r="CF409" s="8">
        <v>3.1263880373444408E-13</v>
      </c>
      <c r="CG409" s="8">
        <v>0.49909196481730789</v>
      </c>
      <c r="CH409" s="8">
        <v>0.48640546093750003</v>
      </c>
      <c r="CI409" s="8">
        <v>560.41770760691463</v>
      </c>
      <c r="CJ409" s="8">
        <v>263.41124911903358</v>
      </c>
      <c r="CK409" s="8">
        <v>550.35251104831332</v>
      </c>
      <c r="CL409" s="8">
        <v>256.75245366763858</v>
      </c>
      <c r="CM409" s="8">
        <v>3299.9686155726044</v>
      </c>
      <c r="CN409" s="8">
        <v>984.79559345101745</v>
      </c>
      <c r="CO409" s="8">
        <v>6806.5623555247757</v>
      </c>
      <c r="CP409" s="8">
        <v>3993.5459022046771</v>
      </c>
    </row>
    <row r="410" spans="1:94" x14ac:dyDescent="0.2">
      <c r="A410" s="6" t="str">
        <f t="shared" si="165"/>
        <v>15- Clean Portfolio by 2045&amp;</v>
      </c>
      <c r="B410" s="6" t="str">
        <f>'Scenario List'!$A$17</f>
        <v>15- Clean Portfolio by 2045</v>
      </c>
      <c r="D410" s="8">
        <v>1643.4557445866662</v>
      </c>
      <c r="E410" s="8">
        <v>936.13158563402249</v>
      </c>
      <c r="F410" s="8">
        <v>2579.5873302206887</v>
      </c>
      <c r="G410" s="8">
        <v>585.65905598619031</v>
      </c>
      <c r="H410" s="8">
        <v>500.56982565474539</v>
      </c>
      <c r="I410" s="8">
        <v>1086.2288816409357</v>
      </c>
      <c r="J410" s="8">
        <v>0.23819082673140235</v>
      </c>
      <c r="K410" s="8">
        <v>0.25620022597647951</v>
      </c>
      <c r="L410" s="8">
        <v>2.1351898274870963E-13</v>
      </c>
      <c r="M410" s="8">
        <v>3.1316117469810747E-13</v>
      </c>
      <c r="N410" s="8">
        <v>-2.1316282072803006E-13</v>
      </c>
      <c r="O410" s="8">
        <v>3.1263880373444408E-13</v>
      </c>
      <c r="P410" s="8">
        <v>-8.259694141090819E-2</v>
      </c>
      <c r="Q410" s="8">
        <v>0</v>
      </c>
      <c r="R410" s="8">
        <v>913.17256920916896</v>
      </c>
      <c r="S410" s="8">
        <v>472.69016198316979</v>
      </c>
      <c r="T410" s="8">
        <v>891.88071236189046</v>
      </c>
      <c r="U410" s="8">
        <v>457.26953006190524</v>
      </c>
      <c r="V410" s="8">
        <v>3208.1098048405106</v>
      </c>
      <c r="W410" s="8">
        <v>1447.4437490097596</v>
      </c>
      <c r="X410" s="8">
        <v>6899.7440713362203</v>
      </c>
      <c r="Y410" s="8">
        <v>4045.6965206659174</v>
      </c>
      <c r="AA410" s="8">
        <v>1621.7953276270914</v>
      </c>
      <c r="AB410" s="8">
        <v>928.83402579353037</v>
      </c>
      <c r="AC410" s="8">
        <v>2550.6293534206216</v>
      </c>
      <c r="AD410" s="8">
        <v>563.56853645519755</v>
      </c>
      <c r="AE410" s="8">
        <v>493.27226581425327</v>
      </c>
      <c r="AF410" s="8">
        <v>1056.8408022694507</v>
      </c>
      <c r="AG410" s="12">
        <v>0.23505151942730113</v>
      </c>
      <c r="AH410" s="12">
        <v>0.25420303187588228</v>
      </c>
      <c r="AI410" s="8">
        <v>1.708151861989677E-13</v>
      </c>
      <c r="AJ410" s="8">
        <v>3.2739577354802139E-13</v>
      </c>
      <c r="AK410" s="8">
        <v>1.7053025658242404E-13</v>
      </c>
      <c r="AL410" s="8">
        <v>3.2684965844964609E-13</v>
      </c>
      <c r="AM410" s="25">
        <v>-8.259694141090819E-2</v>
      </c>
      <c r="AN410" s="25">
        <v>0</v>
      </c>
      <c r="AO410" s="8">
        <v>913.17256920916896</v>
      </c>
      <c r="AP410" s="8">
        <v>472.69016198316979</v>
      </c>
      <c r="AQ410" s="8">
        <v>891.88071236189046</v>
      </c>
      <c r="AR410" s="8">
        <v>457.26953006190524</v>
      </c>
      <c r="AS410" s="8">
        <v>3806.7912356787601</v>
      </c>
      <c r="AT410" s="8">
        <v>1753.9448159769072</v>
      </c>
      <c r="AU410" s="8">
        <v>6899.7440713362203</v>
      </c>
      <c r="AV410" s="8">
        <v>4045.6965206659174</v>
      </c>
      <c r="AX410" s="8">
        <v>1631.3741906953587</v>
      </c>
      <c r="AY410" s="8">
        <v>925.72865777296374</v>
      </c>
      <c r="AZ410" s="8">
        <v>2557.1028484683225</v>
      </c>
      <c r="BA410" s="8">
        <v>573.6018719506626</v>
      </c>
      <c r="BB410" s="8">
        <v>490.1668977936867</v>
      </c>
      <c r="BC410" s="8">
        <v>1063.7687697443494</v>
      </c>
      <c r="BD410" s="8">
        <v>0.23643981194499916</v>
      </c>
      <c r="BE410" s="8">
        <v>0.25335315563965805</v>
      </c>
      <c r="BF410" s="8">
        <v>3.9856876779759127E-13</v>
      </c>
      <c r="BG410" s="8">
        <v>4.6974176204716121E-13</v>
      </c>
      <c r="BH410" s="8">
        <v>-3.979039320256561E-13</v>
      </c>
      <c r="BI410" s="8">
        <v>-4.6895820560166612E-13</v>
      </c>
      <c r="BJ410" s="8">
        <v>-8.259694141090819E-2</v>
      </c>
      <c r="BK410" s="8">
        <v>0</v>
      </c>
      <c r="BL410" s="8">
        <v>913.17256920916896</v>
      </c>
      <c r="BM410" s="8">
        <v>472.69016198316979</v>
      </c>
      <c r="BN410" s="8">
        <v>891.88071236189046</v>
      </c>
      <c r="BO410" s="8">
        <v>457.26953006190524</v>
      </c>
      <c r="BP410" s="8">
        <v>3101.4211007482099</v>
      </c>
      <c r="BQ410" s="8">
        <v>1360.7406681124319</v>
      </c>
      <c r="BR410" s="8">
        <v>6899.7440713362203</v>
      </c>
      <c r="BS410" s="8">
        <v>4045.6965206659174</v>
      </c>
      <c r="BU410" s="8">
        <v>1638.7492016930767</v>
      </c>
      <c r="BV410" s="8">
        <v>933.85477727127522</v>
      </c>
      <c r="BW410" s="8">
        <v>2572.6039789643519</v>
      </c>
      <c r="BX410" s="8">
        <v>581.02318514738693</v>
      </c>
      <c r="BY410" s="8">
        <v>498.29301729199813</v>
      </c>
      <c r="BZ410" s="8">
        <v>1079.3162024393851</v>
      </c>
      <c r="CA410" s="8">
        <v>0.23750869376459535</v>
      </c>
      <c r="CB410" s="8">
        <v>0.25557710971163738</v>
      </c>
      <c r="CC410" s="8">
        <v>1.9216708447383865E-13</v>
      </c>
      <c r="CD410" s="8">
        <v>1.0675949137435481E-13</v>
      </c>
      <c r="CE410" s="8">
        <v>1.9184653865522705E-13</v>
      </c>
      <c r="CF410" s="8">
        <v>1.0658141036401503E-13</v>
      </c>
      <c r="CG410" s="8">
        <v>-8.259694141090819E-2</v>
      </c>
      <c r="CH410" s="8">
        <v>0</v>
      </c>
      <c r="CI410" s="8">
        <v>913.17256920916896</v>
      </c>
      <c r="CJ410" s="8">
        <v>472.69016198316979</v>
      </c>
      <c r="CK410" s="8">
        <v>891.88071236189046</v>
      </c>
      <c r="CL410" s="8">
        <v>457.26953006190524</v>
      </c>
      <c r="CM410" s="8">
        <v>4205.5929355007365</v>
      </c>
      <c r="CN410" s="8">
        <v>1667.3772127703489</v>
      </c>
      <c r="CO410" s="8">
        <v>6899.7440713362203</v>
      </c>
      <c r="CP410" s="8">
        <v>4045.6965206659174</v>
      </c>
    </row>
    <row r="411" spans="1:94" x14ac:dyDescent="0.2">
      <c r="A411" s="6" t="str">
        <f t="shared" si="165"/>
        <v>15- Clean Portfolio by 2045&amp;</v>
      </c>
      <c r="B411" s="6" t="str">
        <f>'Scenario List'!$A$17</f>
        <v>15- Clean Portfolio by 2045</v>
      </c>
      <c r="D411" s="16">
        <f>NPV($B$1,D388:D410)</f>
        <v>10206.196295858203</v>
      </c>
      <c r="E411" s="16">
        <f t="shared" ref="E411" si="166">NPV($B$1,E388:E410)</f>
        <v>4881.3579534736227</v>
      </c>
      <c r="F411" s="16">
        <f t="shared" ref="F411" si="167">NPV($B$1,F388:F410)</f>
        <v>15087.554249331824</v>
      </c>
      <c r="G411" s="16">
        <f t="shared" ref="G411" si="168">NPV($B$1,G388:G410)</f>
        <v>4276.4596090375917</v>
      </c>
      <c r="H411" s="16">
        <f t="shared" ref="H411" si="169">NPV($B$1,H388:H410)</f>
        <v>1750.1358786623989</v>
      </c>
      <c r="I411" s="16">
        <f t="shared" ref="I411" si="170">NPV($B$1,I388:I410)</f>
        <v>6026.5954876999922</v>
      </c>
      <c r="J411" s="17"/>
      <c r="K411" s="17"/>
      <c r="L411" s="16">
        <f t="shared" ref="L411" si="171">NPV($B$1,L388:L410)</f>
        <v>4.3048975562090598E-12</v>
      </c>
      <c r="M411" s="16">
        <f t="shared" ref="M411" si="172">NPV($B$1,M388:M410)</f>
        <v>4.4553684117187777E-12</v>
      </c>
      <c r="N411" s="16">
        <f t="shared" ref="N411" si="173">NPV($B$1,N388:N410)</f>
        <v>-7.0080034463469723E-13</v>
      </c>
      <c r="O411" s="16">
        <f t="shared" ref="O411" si="174">NPV($B$1,O388:O410)</f>
        <v>7.0625473606429199E-13</v>
      </c>
      <c r="P411" s="52">
        <f t="shared" ref="P411" si="175">NPV($B$1,P388:P410)</f>
        <v>18.177950956282213</v>
      </c>
      <c r="Q411" s="52">
        <f t="shared" ref="Q411" si="176">NPV($B$1,Q388:Q410)</f>
        <v>18.686980920559076</v>
      </c>
      <c r="AA411" s="16">
        <f>NPV($B$1,AA388:AA410)</f>
        <v>10335.629786191479</v>
      </c>
      <c r="AB411" s="16">
        <f t="shared" ref="AB411" si="177">NPV($B$1,AB388:AB410)</f>
        <v>4991.2612400976559</v>
      </c>
      <c r="AC411" s="16">
        <f t="shared" ref="AC411" si="178">NPV($B$1,AC388:AC410)</f>
        <v>15326.891026289133</v>
      </c>
      <c r="AD411" s="16">
        <f t="shared" ref="AD411" si="179">NPV($B$1,AD388:AD410)</f>
        <v>4301.4901380185756</v>
      </c>
      <c r="AE411" s="16">
        <f t="shared" ref="AE411" si="180">NPV($B$1,AE388:AE410)</f>
        <v>1860.0391652864314</v>
      </c>
      <c r="AF411" s="16">
        <f t="shared" ref="AF411" si="181">NPV($B$1,AF388:AF410)</f>
        <v>6161.5293033050057</v>
      </c>
      <c r="AG411" s="17"/>
      <c r="AH411" s="17"/>
      <c r="AI411" s="16">
        <f t="shared" ref="AI411" si="182">NPV($B$1,AI388:AI410)</f>
        <v>4.4261162859082165E-12</v>
      </c>
      <c r="AJ411" s="16">
        <f t="shared" ref="AJ411" si="183">NPV($B$1,AJ388:AJ410)</f>
        <v>5.1802927175058514E-12</v>
      </c>
      <c r="AK411" s="16">
        <f t="shared" ref="AK411" si="184">NPV($B$1,AK388:AK410)</f>
        <v>1.7243815237756334E-12</v>
      </c>
      <c r="AL411" s="16">
        <f t="shared" ref="AL411" si="185">NPV($B$1,AL388:AL410)</f>
        <v>-6.6541407626756151E-13</v>
      </c>
      <c r="AM411" s="52">
        <f t="shared" ref="AM411" si="186">NPV($B$1,AM388:AM410)</f>
        <v>16.998567236898708</v>
      </c>
      <c r="AN411" s="52">
        <f t="shared" ref="AN411" si="187">NPV($B$1,AN388:AN410)</f>
        <v>17.507597201175578</v>
      </c>
      <c r="AX411" s="16">
        <f>NPV($B$1,AX388:AX410)</f>
        <v>9935.6074606037619</v>
      </c>
      <c r="AY411" s="16">
        <f t="shared" ref="AY411" si="188">NPV($B$1,AY388:AY410)</f>
        <v>4718.211153195426</v>
      </c>
      <c r="AZ411" s="16">
        <f t="shared" ref="AZ411" si="189">NPV($B$1,AZ388:AZ410)</f>
        <v>14653.818613799191</v>
      </c>
      <c r="BA411" s="16">
        <f t="shared" ref="BA411" si="190">NPV($B$1,BA388:BA410)</f>
        <v>4070.9113005009763</v>
      </c>
      <c r="BB411" s="16">
        <f t="shared" ref="BB411" si="191">NPV($B$1,BB388:BB410)</f>
        <v>1586.9890783842045</v>
      </c>
      <c r="BC411" s="16">
        <f t="shared" ref="BC411" si="192">NPV($B$1,BC388:BC410)</f>
        <v>5657.9003788851787</v>
      </c>
      <c r="BD411" s="17"/>
      <c r="BE411" s="17"/>
      <c r="BF411" s="16">
        <f t="shared" ref="BF411" si="193">NPV($B$1,BF388:BF410)</f>
        <v>3.4648922606072378E-12</v>
      </c>
      <c r="BG411" s="16">
        <f t="shared" ref="BG411" si="194">NPV($B$1,BG388:BG410)</f>
        <v>2.8488029514710581E-12</v>
      </c>
      <c r="BH411" s="16">
        <f t="shared" ref="BH411" si="195">NPV($B$1,BH388:BH410)</f>
        <v>2.4148918287211153E-13</v>
      </c>
      <c r="BI411" s="16">
        <f t="shared" ref="BI411" si="196">NPV($B$1,BI388:BI410)</f>
        <v>9.6850372820356203E-14</v>
      </c>
      <c r="BJ411" s="52">
        <f t="shared" ref="BJ411" si="197">NPV($B$1,BJ388:BJ410)</f>
        <v>18.935175106684355</v>
      </c>
      <c r="BK411" s="52">
        <f t="shared" ref="BK411" si="198">NPV($B$1,BK388:BK410)</f>
        <v>19.44420507096121</v>
      </c>
      <c r="BU411" s="16">
        <f>NPV($B$1,BU388:BU410)</f>
        <v>10188.959603115623</v>
      </c>
      <c r="BV411" s="16">
        <f t="shared" ref="BV411" si="199">NPV($B$1,BV388:BV410)</f>
        <v>4878.2579512472139</v>
      </c>
      <c r="BW411" s="16">
        <f t="shared" ref="BW411" si="200">NPV($B$1,BW388:BW410)</f>
        <v>15067.21755436284</v>
      </c>
      <c r="BX411" s="16">
        <f t="shared" ref="BX411" si="201">NPV($B$1,BX388:BX410)</f>
        <v>4176.2704185627308</v>
      </c>
      <c r="BY411" s="16">
        <f t="shared" ref="BY411" si="202">NPV($B$1,BY388:BY410)</f>
        <v>1747.035876435991</v>
      </c>
      <c r="BZ411" s="16">
        <f t="shared" ref="BZ411" si="203">NPV($B$1,BZ388:BZ410)</f>
        <v>5923.3062949987225</v>
      </c>
      <c r="CA411" s="17"/>
      <c r="CB411" s="17"/>
      <c r="CC411" s="16">
        <f t="shared" ref="CC411" si="204">NPV($B$1,CC388:CC410)</f>
        <v>5.5666901480877592E-12</v>
      </c>
      <c r="CD411" s="16">
        <f t="shared" ref="CD411" si="205">NPV($B$1,CD388:CD410)</f>
        <v>4.9149874026508472E-12</v>
      </c>
      <c r="CE411" s="16">
        <f t="shared" ref="CE411" si="206">NPV($B$1,CE388:CE410)</f>
        <v>-2.6764624025730134E-12</v>
      </c>
      <c r="CF411" s="16">
        <f t="shared" ref="CF411" si="207">NPV($B$1,CF388:CF410)</f>
        <v>-1.4615375272279573E-13</v>
      </c>
      <c r="CG411" s="52">
        <f t="shared" ref="CG411" si="208">NPV($B$1,CG388:CG410)</f>
        <v>17.279048477350489</v>
      </c>
      <c r="CH411" s="52">
        <f t="shared" ref="CH411" si="209">NPV($B$1,CH388:CH410)</f>
        <v>17.788078441627352</v>
      </c>
    </row>
    <row r="412" spans="1:94" x14ac:dyDescent="0.2">
      <c r="A412" s="6" t="str">
        <f t="shared" si="165"/>
        <v>15- Clean Portfolio by 2045&amp;</v>
      </c>
      <c r="B412" s="6" t="str">
        <f>'Scenario List'!$A$17</f>
        <v>15- Clean Portfolio by 2045</v>
      </c>
      <c r="D412" s="16">
        <f>-PMT($B$1,COUNT(D388:D410),D411)</f>
        <v>867.88551039816139</v>
      </c>
      <c r="E412" s="16">
        <f t="shared" ref="E412" si="210">-PMT($B$1,COUNT(E388:E410),E411)</f>
        <v>415.08704281983933</v>
      </c>
      <c r="F412" s="16">
        <f t="shared" ref="F412" si="211">-PMT($B$1,COUNT(F388:F410),F411)</f>
        <v>1282.9725532180005</v>
      </c>
      <c r="G412" s="16">
        <f t="shared" ref="G412" si="212">-PMT($B$1,COUNT(G388:G410),G411)</f>
        <v>363.64941677565753</v>
      </c>
      <c r="H412" s="16">
        <f t="shared" ref="H412" si="213">-PMT($B$1,COUNT(H388:H410),H411)</f>
        <v>148.82308024346403</v>
      </c>
      <c r="I412" s="16">
        <f t="shared" ref="I412" si="214">-PMT($B$1,COUNT(I388:I410),I411)</f>
        <v>512.47249701912176</v>
      </c>
      <c r="J412" s="17"/>
      <c r="K412" s="17"/>
      <c r="L412" s="16">
        <f t="shared" ref="L412" si="215">-PMT($B$1,COUNT(L388:L410),L411)</f>
        <v>3.6606764209487872E-13</v>
      </c>
      <c r="M412" s="16">
        <f t="shared" ref="M412" si="216">-PMT($B$1,COUNT(M388:M410),M411)</f>
        <v>3.7886295500563425E-13</v>
      </c>
      <c r="N412" s="16">
        <f t="shared" ref="N412" si="217">-PMT($B$1,COUNT(N388:N410),N411)</f>
        <v>-5.9592667744134241E-14</v>
      </c>
      <c r="O412" s="16">
        <f t="shared" ref="O412" si="218">-PMT($B$1,COUNT(O388:O410),O411)</f>
        <v>6.0056482778899574E-14</v>
      </c>
      <c r="P412" s="52">
        <f t="shared" ref="P412" si="219">-PMT($B$1,COUNT(P388:P410),P411)</f>
        <v>1.5457649242047184</v>
      </c>
      <c r="Q412" s="52">
        <f t="shared" ref="Q412" si="220">-PMT($B$1,COUNT(Q388:Q410),Q411)</f>
        <v>1.5890503674343046</v>
      </c>
      <c r="AA412" s="16">
        <f>-PMT($B$1,COUNT(AA388:AA410),AA411)</f>
        <v>878.89190764588989</v>
      </c>
      <c r="AB412" s="16">
        <f t="shared" ref="AB412" si="221">-PMT($B$1,COUNT(AB388:AB410),AB411)</f>
        <v>424.43268611741559</v>
      </c>
      <c r="AC412" s="16">
        <f t="shared" ref="AC412" si="222">-PMT($B$1,COUNT(AC388:AC410),AC411)</f>
        <v>1303.3245937633053</v>
      </c>
      <c r="AD412" s="16">
        <f t="shared" ref="AD412" si="223">-PMT($B$1,COUNT(AD388:AD410),AD411)</f>
        <v>365.77789175208073</v>
      </c>
      <c r="AE412" s="16">
        <f t="shared" ref="AE412" si="224">-PMT($B$1,COUNT(AE388:AE410),AE411)</f>
        <v>158.16872354104018</v>
      </c>
      <c r="AF412" s="16">
        <f t="shared" ref="AF412" si="225">-PMT($B$1,COUNT(AF388:AF410),AF411)</f>
        <v>523.94661529312077</v>
      </c>
      <c r="AG412" s="17"/>
      <c r="AH412" s="17"/>
      <c r="AI412" s="16">
        <f t="shared" ref="AI412" si="226">-PMT($B$1,COUNT(AI388:AI410),AI411)</f>
        <v>3.7637549587753255E-13</v>
      </c>
      <c r="AJ412" s="16">
        <f t="shared" ref="AJ412" si="227">-PMT($B$1,COUNT(AJ388:AJ410),AJ411)</f>
        <v>4.4050700758802128E-13</v>
      </c>
      <c r="AK412" s="16">
        <f t="shared" ref="AK412" si="228">-PMT($B$1,COUNT(AK388:AK410),AK411)</f>
        <v>1.4663305461707603E-13</v>
      </c>
      <c r="AL412" s="16">
        <f t="shared" ref="AL412" si="229">-PMT($B$1,COUNT(AL388:AL410),AL411)</f>
        <v>-5.6583590837063507E-14</v>
      </c>
      <c r="AM412" s="52">
        <f t="shared" ref="AM412" si="230">-PMT($B$1,COUNT(AM388:AM410),AM411)</f>
        <v>1.4454758437695507</v>
      </c>
      <c r="AN412" s="52">
        <f t="shared" ref="AN412" si="231">-PMT($B$1,COUNT(AN388:AN410),AN411)</f>
        <v>1.4887612869991373</v>
      </c>
      <c r="AX412" s="16">
        <f>-PMT($B$1,COUNT(AX388:AX410),AX411)</f>
        <v>844.87594615059288</v>
      </c>
      <c r="AY412" s="16">
        <f t="shared" ref="AY412" si="232">-PMT($B$1,COUNT(AY388:AY410),AY411)</f>
        <v>401.21382894811222</v>
      </c>
      <c r="AZ412" s="16">
        <f t="shared" ref="AZ412" si="233">-PMT($B$1,COUNT(AZ388:AZ410),AZ411)</f>
        <v>1246.0897750987056</v>
      </c>
      <c r="BA412" s="16">
        <f t="shared" ref="BA412" si="234">-PMT($B$1,COUNT(BA388:BA410),BA411)</f>
        <v>346.17058396718284</v>
      </c>
      <c r="BB412" s="16">
        <f t="shared" ref="BB412" si="235">-PMT($B$1,COUNT(BB388:BB410),BB411)</f>
        <v>134.94986637173716</v>
      </c>
      <c r="BC412" s="16">
        <f t="shared" ref="BC412" si="236">-PMT($B$1,COUNT(BC388:BC410),BC411)</f>
        <v>481.1204503389198</v>
      </c>
      <c r="BD412" s="17"/>
      <c r="BE412" s="17"/>
      <c r="BF412" s="16">
        <f t="shared" ref="BF412" si="237">-PMT($B$1,COUNT(BF388:BF410),BF411)</f>
        <v>2.9463765940814615E-13</v>
      </c>
      <c r="BG412" s="16">
        <f t="shared" ref="BG412" si="238">-PMT($B$1,COUNT(BG388:BG410),BG411)</f>
        <v>2.422484079171191E-13</v>
      </c>
      <c r="BH412" s="16">
        <f t="shared" ref="BH412" si="239">-PMT($B$1,COUNT(BH388:BH410),BH411)</f>
        <v>2.0535070721464521E-14</v>
      </c>
      <c r="BI412" s="16">
        <f t="shared" ref="BI412" si="240">-PMT($B$1,COUNT(BI388:BI410),BI411)</f>
        <v>8.2356867152905542E-15</v>
      </c>
      <c r="BJ412" s="52">
        <f t="shared" ref="BJ412" si="241">-PMT($B$1,COUNT(BJ388:BJ410),BJ411)</f>
        <v>1.6101555991640342</v>
      </c>
      <c r="BK412" s="52">
        <f t="shared" ref="BK412" si="242">-PMT($B$1,COUNT(BK388:BK410),BK411)</f>
        <v>1.6534410423936197</v>
      </c>
      <c r="BU412" s="16">
        <f>-PMT($B$1,COUNT(BU388:BU410),BU411)</f>
        <v>866.4197855144904</v>
      </c>
      <c r="BV412" s="16">
        <f t="shared" ref="BV412" si="243">-PMT($B$1,COUNT(BV388:BV410),BV411)</f>
        <v>414.82343364199176</v>
      </c>
      <c r="BW412" s="16">
        <f t="shared" ref="BW412" si="244">-PMT($B$1,COUNT(BW388:BW410),BW411)</f>
        <v>1281.2432191564822</v>
      </c>
      <c r="BX412" s="16">
        <f t="shared" ref="BX412" si="245">-PMT($B$1,COUNT(BX388:BX410),BX411)</f>
        <v>355.12981317495672</v>
      </c>
      <c r="BY412" s="16">
        <f t="shared" ref="BY412" si="246">-PMT($B$1,COUNT(BY388:BY410),BY411)</f>
        <v>148.55947106561652</v>
      </c>
      <c r="BZ412" s="16">
        <f t="shared" ref="BZ412" si="247">-PMT($B$1,COUNT(BZ388:BZ410),BZ411)</f>
        <v>503.68928424057327</v>
      </c>
      <c r="CA412" s="17"/>
      <c r="CB412" s="17"/>
      <c r="CC412" s="16">
        <f t="shared" ref="CC412" si="248">-PMT($B$1,COUNT(CC388:CC410),CC411)</f>
        <v>4.733643739893716E-13</v>
      </c>
      <c r="CD412" s="16">
        <f t="shared" ref="CD412" si="249">-PMT($B$1,COUNT(CD388:CD410),CD411)</f>
        <v>4.1794672833024134E-13</v>
      </c>
      <c r="CE412" s="16">
        <f t="shared" ref="CE412" si="250">-PMT($B$1,COUNT(CE388:CE410),CE411)</f>
        <v>-2.2759340218267355E-13</v>
      </c>
      <c r="CF412" s="16">
        <f t="shared" ref="CF412" si="251">-PMT($B$1,COUNT(CF388:CF410),CF411)</f>
        <v>-1.2428207394943535E-14</v>
      </c>
      <c r="CG412" s="52">
        <f t="shared" ref="CG412" si="252">-PMT($B$1,COUNT(CG388:CG410),CG411)</f>
        <v>1.4693266102520051</v>
      </c>
      <c r="CH412" s="52">
        <f t="shared" ref="CH412" si="253">-PMT($B$1,COUNT(CH388:CH410),CH411)</f>
        <v>1.512612053481591</v>
      </c>
    </row>
    <row r="415" spans="1:94" x14ac:dyDescent="0.2">
      <c r="A415" s="6" t="str">
        <f t="shared" ref="A415:A439" si="254">B415&amp;"&amp;"&amp;C415</f>
        <v>16- Social Cost Included for Idaho&amp;</v>
      </c>
      <c r="B415" s="6" t="str">
        <f>'Scenario List'!$A$18</f>
        <v>16- Social Cost Included for Idaho</v>
      </c>
    </row>
    <row r="416" spans="1:94" x14ac:dyDescent="0.2">
      <c r="A416" s="6" t="str">
        <f t="shared" si="254"/>
        <v>16- Social Cost Included for Idaho&amp;</v>
      </c>
      <c r="B416" s="6" t="str">
        <f>'Scenario List'!$A$18</f>
        <v>16- Social Cost Included for Idaho</v>
      </c>
    </row>
    <row r="417" spans="1:2" x14ac:dyDescent="0.2">
      <c r="A417" s="6" t="str">
        <f t="shared" si="254"/>
        <v>16- Social Cost Included for Idaho&amp;</v>
      </c>
      <c r="B417" s="6" t="str">
        <f>'Scenario List'!$A$18</f>
        <v>16- Social Cost Included for Idaho</v>
      </c>
    </row>
    <row r="418" spans="1:2" x14ac:dyDescent="0.2">
      <c r="A418" s="6" t="str">
        <f t="shared" si="254"/>
        <v>16- Social Cost Included for Idaho&amp;</v>
      </c>
      <c r="B418" s="6" t="str">
        <f>'Scenario List'!$A$18</f>
        <v>16- Social Cost Included for Idaho</v>
      </c>
    </row>
    <row r="419" spans="1:2" x14ac:dyDescent="0.2">
      <c r="A419" s="6" t="str">
        <f t="shared" si="254"/>
        <v>16- Social Cost Included for Idaho&amp;</v>
      </c>
      <c r="B419" s="6" t="str">
        <f>'Scenario List'!$A$18</f>
        <v>16- Social Cost Included for Idaho</v>
      </c>
    </row>
    <row r="420" spans="1:2" x14ac:dyDescent="0.2">
      <c r="A420" s="6" t="str">
        <f t="shared" si="254"/>
        <v>16- Social Cost Included for Idaho&amp;</v>
      </c>
      <c r="B420" s="6" t="str">
        <f>'Scenario List'!$A$18</f>
        <v>16- Social Cost Included for Idaho</v>
      </c>
    </row>
    <row r="421" spans="1:2" x14ac:dyDescent="0.2">
      <c r="A421" s="6" t="str">
        <f t="shared" si="254"/>
        <v>16- Social Cost Included for Idaho&amp;</v>
      </c>
      <c r="B421" s="6" t="str">
        <f>'Scenario List'!$A$18</f>
        <v>16- Social Cost Included for Idaho</v>
      </c>
    </row>
    <row r="422" spans="1:2" x14ac:dyDescent="0.2">
      <c r="A422" s="6" t="str">
        <f t="shared" si="254"/>
        <v>16- Social Cost Included for Idaho&amp;</v>
      </c>
      <c r="B422" s="6" t="str">
        <f>'Scenario List'!$A$18</f>
        <v>16- Social Cost Included for Idaho</v>
      </c>
    </row>
    <row r="423" spans="1:2" x14ac:dyDescent="0.2">
      <c r="A423" s="6" t="str">
        <f t="shared" si="254"/>
        <v>16- Social Cost Included for Idaho&amp;</v>
      </c>
      <c r="B423" s="6" t="str">
        <f>'Scenario List'!$A$18</f>
        <v>16- Social Cost Included for Idaho</v>
      </c>
    </row>
    <row r="424" spans="1:2" x14ac:dyDescent="0.2">
      <c r="A424" s="6" t="str">
        <f t="shared" si="254"/>
        <v>16- Social Cost Included for Idaho&amp;</v>
      </c>
      <c r="B424" s="6" t="str">
        <f>'Scenario List'!$A$18</f>
        <v>16- Social Cost Included for Idaho</v>
      </c>
    </row>
    <row r="425" spans="1:2" x14ac:dyDescent="0.2">
      <c r="A425" s="6" t="str">
        <f t="shared" si="254"/>
        <v>16- Social Cost Included for Idaho&amp;</v>
      </c>
      <c r="B425" s="6" t="str">
        <f>'Scenario List'!$A$18</f>
        <v>16- Social Cost Included for Idaho</v>
      </c>
    </row>
    <row r="426" spans="1:2" x14ac:dyDescent="0.2">
      <c r="A426" s="6" t="str">
        <f t="shared" si="254"/>
        <v>16- Social Cost Included for Idaho&amp;</v>
      </c>
      <c r="B426" s="6" t="str">
        <f>'Scenario List'!$A$18</f>
        <v>16- Social Cost Included for Idaho</v>
      </c>
    </row>
    <row r="427" spans="1:2" x14ac:dyDescent="0.2">
      <c r="A427" s="6" t="str">
        <f t="shared" si="254"/>
        <v>16- Social Cost Included for Idaho&amp;</v>
      </c>
      <c r="B427" s="6" t="str">
        <f>'Scenario List'!$A$18</f>
        <v>16- Social Cost Included for Idaho</v>
      </c>
    </row>
    <row r="428" spans="1:2" x14ac:dyDescent="0.2">
      <c r="A428" s="6" t="str">
        <f t="shared" si="254"/>
        <v>16- Social Cost Included for Idaho&amp;</v>
      </c>
      <c r="B428" s="6" t="str">
        <f>'Scenario List'!$A$18</f>
        <v>16- Social Cost Included for Idaho</v>
      </c>
    </row>
    <row r="429" spans="1:2" x14ac:dyDescent="0.2">
      <c r="A429" s="6" t="str">
        <f t="shared" si="254"/>
        <v>16- Social Cost Included for Idaho&amp;</v>
      </c>
      <c r="B429" s="6" t="str">
        <f>'Scenario List'!$A$18</f>
        <v>16- Social Cost Included for Idaho</v>
      </c>
    </row>
    <row r="430" spans="1:2" x14ac:dyDescent="0.2">
      <c r="A430" s="6" t="str">
        <f t="shared" si="254"/>
        <v>16- Social Cost Included for Idaho&amp;</v>
      </c>
      <c r="B430" s="6" t="str">
        <f>'Scenario List'!$A$18</f>
        <v>16- Social Cost Included for Idaho</v>
      </c>
    </row>
    <row r="431" spans="1:2" x14ac:dyDescent="0.2">
      <c r="A431" s="6" t="str">
        <f t="shared" si="254"/>
        <v>16- Social Cost Included for Idaho&amp;</v>
      </c>
      <c r="B431" s="6" t="str">
        <f>'Scenario List'!$A$18</f>
        <v>16- Social Cost Included for Idaho</v>
      </c>
    </row>
    <row r="432" spans="1:2" x14ac:dyDescent="0.2">
      <c r="A432" s="6" t="str">
        <f t="shared" si="254"/>
        <v>16- Social Cost Included for Idaho&amp;</v>
      </c>
      <c r="B432" s="6" t="str">
        <f>'Scenario List'!$A$18</f>
        <v>16- Social Cost Included for Idaho</v>
      </c>
    </row>
    <row r="433" spans="1:2" x14ac:dyDescent="0.2">
      <c r="A433" s="6" t="str">
        <f t="shared" si="254"/>
        <v>16- Social Cost Included for Idaho&amp;</v>
      </c>
      <c r="B433" s="6" t="str">
        <f>'Scenario List'!$A$18</f>
        <v>16- Social Cost Included for Idaho</v>
      </c>
    </row>
    <row r="434" spans="1:2" x14ac:dyDescent="0.2">
      <c r="A434" s="6" t="str">
        <f t="shared" si="254"/>
        <v>16- Social Cost Included for Idaho&amp;</v>
      </c>
      <c r="B434" s="6" t="str">
        <f>'Scenario List'!$A$18</f>
        <v>16- Social Cost Included for Idaho</v>
      </c>
    </row>
    <row r="435" spans="1:2" x14ac:dyDescent="0.2">
      <c r="A435" s="6" t="str">
        <f t="shared" si="254"/>
        <v>16- Social Cost Included for Idaho&amp;</v>
      </c>
      <c r="B435" s="6" t="str">
        <f>'Scenario List'!$A$18</f>
        <v>16- Social Cost Included for Idaho</v>
      </c>
    </row>
    <row r="436" spans="1:2" x14ac:dyDescent="0.2">
      <c r="A436" s="6" t="str">
        <f t="shared" si="254"/>
        <v>16- Social Cost Included for Idaho&amp;</v>
      </c>
      <c r="B436" s="6" t="str">
        <f>'Scenario List'!$A$18</f>
        <v>16- Social Cost Included for Idaho</v>
      </c>
    </row>
    <row r="437" spans="1:2" x14ac:dyDescent="0.2">
      <c r="A437" s="6" t="str">
        <f t="shared" si="254"/>
        <v>16- Social Cost Included for Idaho&amp;</v>
      </c>
      <c r="B437" s="6" t="str">
        <f>'Scenario List'!$A$18</f>
        <v>16- Social Cost Included for Idaho</v>
      </c>
    </row>
    <row r="438" spans="1:2" x14ac:dyDescent="0.2">
      <c r="A438" s="6" t="str">
        <f t="shared" si="254"/>
        <v>16- Social Cost Included for Idaho&amp;</v>
      </c>
      <c r="B438" s="6" t="str">
        <f>'Scenario List'!$A$18</f>
        <v>16- Social Cost Included for Idaho</v>
      </c>
    </row>
    <row r="439" spans="1:2" x14ac:dyDescent="0.2">
      <c r="A439" s="6" t="str">
        <f t="shared" si="254"/>
        <v>16- Social Cost Included for Idaho&amp;</v>
      </c>
      <c r="B439" s="6" t="str">
        <f>'Scenario List'!$A$18</f>
        <v>16- Social Cost Included for Idaho</v>
      </c>
    </row>
    <row r="442" spans="1:2" x14ac:dyDescent="0.2">
      <c r="A442" s="6" t="str">
        <f t="shared" ref="A442:A466" si="255">B442&amp;"&amp;"&amp;C442</f>
        <v>17- WA Maximum Customer Benefits&amp;</v>
      </c>
      <c r="B442" s="6" t="str">
        <f>'Scenario List'!$A$19</f>
        <v>17- WA Maximum Customer Benefits</v>
      </c>
    </row>
    <row r="443" spans="1:2" x14ac:dyDescent="0.2">
      <c r="A443" s="6" t="str">
        <f t="shared" si="255"/>
        <v>17- WA Maximum Customer Benefits&amp;</v>
      </c>
      <c r="B443" s="6" t="str">
        <f>'Scenario List'!$A$19</f>
        <v>17- WA Maximum Customer Benefits</v>
      </c>
    </row>
    <row r="444" spans="1:2" x14ac:dyDescent="0.2">
      <c r="A444" s="6" t="str">
        <f t="shared" si="255"/>
        <v>17- WA Maximum Customer Benefits&amp;</v>
      </c>
      <c r="B444" s="6" t="str">
        <f>'Scenario List'!$A$19</f>
        <v>17- WA Maximum Customer Benefits</v>
      </c>
    </row>
    <row r="445" spans="1:2" x14ac:dyDescent="0.2">
      <c r="A445" s="6" t="str">
        <f t="shared" si="255"/>
        <v>17- WA Maximum Customer Benefits&amp;</v>
      </c>
      <c r="B445" s="6" t="str">
        <f>'Scenario List'!$A$19</f>
        <v>17- WA Maximum Customer Benefits</v>
      </c>
    </row>
    <row r="446" spans="1:2" x14ac:dyDescent="0.2">
      <c r="A446" s="6" t="str">
        <f t="shared" si="255"/>
        <v>17- WA Maximum Customer Benefits&amp;</v>
      </c>
      <c r="B446" s="6" t="str">
        <f>'Scenario List'!$A$19</f>
        <v>17- WA Maximum Customer Benefits</v>
      </c>
    </row>
    <row r="447" spans="1:2" x14ac:dyDescent="0.2">
      <c r="A447" s="6" t="str">
        <f t="shared" si="255"/>
        <v>17- WA Maximum Customer Benefits&amp;</v>
      </c>
      <c r="B447" s="6" t="str">
        <f>'Scenario List'!$A$19</f>
        <v>17- WA Maximum Customer Benefits</v>
      </c>
    </row>
    <row r="448" spans="1:2" x14ac:dyDescent="0.2">
      <c r="A448" s="6" t="str">
        <f t="shared" si="255"/>
        <v>17- WA Maximum Customer Benefits&amp;</v>
      </c>
      <c r="B448" s="6" t="str">
        <f>'Scenario List'!$A$19</f>
        <v>17- WA Maximum Customer Benefits</v>
      </c>
    </row>
    <row r="449" spans="1:2" x14ac:dyDescent="0.2">
      <c r="A449" s="6" t="str">
        <f t="shared" si="255"/>
        <v>17- WA Maximum Customer Benefits&amp;</v>
      </c>
      <c r="B449" s="6" t="str">
        <f>'Scenario List'!$A$19</f>
        <v>17- WA Maximum Customer Benefits</v>
      </c>
    </row>
    <row r="450" spans="1:2" x14ac:dyDescent="0.2">
      <c r="A450" s="6" t="str">
        <f t="shared" si="255"/>
        <v>17- WA Maximum Customer Benefits&amp;</v>
      </c>
      <c r="B450" s="6" t="str">
        <f>'Scenario List'!$A$19</f>
        <v>17- WA Maximum Customer Benefits</v>
      </c>
    </row>
    <row r="451" spans="1:2" x14ac:dyDescent="0.2">
      <c r="A451" s="6" t="str">
        <f t="shared" si="255"/>
        <v>17- WA Maximum Customer Benefits&amp;</v>
      </c>
      <c r="B451" s="6" t="str">
        <f>'Scenario List'!$A$19</f>
        <v>17- WA Maximum Customer Benefits</v>
      </c>
    </row>
    <row r="452" spans="1:2" x14ac:dyDescent="0.2">
      <c r="A452" s="6" t="str">
        <f t="shared" si="255"/>
        <v>17- WA Maximum Customer Benefits&amp;</v>
      </c>
      <c r="B452" s="6" t="str">
        <f>'Scenario List'!$A$19</f>
        <v>17- WA Maximum Customer Benefits</v>
      </c>
    </row>
    <row r="453" spans="1:2" x14ac:dyDescent="0.2">
      <c r="A453" s="6" t="str">
        <f t="shared" si="255"/>
        <v>17- WA Maximum Customer Benefits&amp;</v>
      </c>
      <c r="B453" s="6" t="str">
        <f>'Scenario List'!$A$19</f>
        <v>17- WA Maximum Customer Benefits</v>
      </c>
    </row>
    <row r="454" spans="1:2" x14ac:dyDescent="0.2">
      <c r="A454" s="6" t="str">
        <f t="shared" si="255"/>
        <v>17- WA Maximum Customer Benefits&amp;</v>
      </c>
      <c r="B454" s="6" t="str">
        <f>'Scenario List'!$A$19</f>
        <v>17- WA Maximum Customer Benefits</v>
      </c>
    </row>
    <row r="455" spans="1:2" x14ac:dyDescent="0.2">
      <c r="A455" s="6" t="str">
        <f t="shared" si="255"/>
        <v>17- WA Maximum Customer Benefits&amp;</v>
      </c>
      <c r="B455" s="6" t="str">
        <f>'Scenario List'!$A$19</f>
        <v>17- WA Maximum Customer Benefits</v>
      </c>
    </row>
    <row r="456" spans="1:2" x14ac:dyDescent="0.2">
      <c r="A456" s="6" t="str">
        <f t="shared" si="255"/>
        <v>17- WA Maximum Customer Benefits&amp;</v>
      </c>
      <c r="B456" s="6" t="str">
        <f>'Scenario List'!$A$19</f>
        <v>17- WA Maximum Customer Benefits</v>
      </c>
    </row>
    <row r="457" spans="1:2" x14ac:dyDescent="0.2">
      <c r="A457" s="6" t="str">
        <f t="shared" si="255"/>
        <v>17- WA Maximum Customer Benefits&amp;</v>
      </c>
      <c r="B457" s="6" t="str">
        <f>'Scenario List'!$A$19</f>
        <v>17- WA Maximum Customer Benefits</v>
      </c>
    </row>
    <row r="458" spans="1:2" x14ac:dyDescent="0.2">
      <c r="A458" s="6" t="str">
        <f t="shared" si="255"/>
        <v>17- WA Maximum Customer Benefits&amp;</v>
      </c>
      <c r="B458" s="6" t="str">
        <f>'Scenario List'!$A$19</f>
        <v>17- WA Maximum Customer Benefits</v>
      </c>
    </row>
    <row r="459" spans="1:2" x14ac:dyDescent="0.2">
      <c r="A459" s="6" t="str">
        <f t="shared" si="255"/>
        <v>17- WA Maximum Customer Benefits&amp;</v>
      </c>
      <c r="B459" s="6" t="str">
        <f>'Scenario List'!$A$19</f>
        <v>17- WA Maximum Customer Benefits</v>
      </c>
    </row>
    <row r="460" spans="1:2" x14ac:dyDescent="0.2">
      <c r="A460" s="6" t="str">
        <f t="shared" si="255"/>
        <v>17- WA Maximum Customer Benefits&amp;</v>
      </c>
      <c r="B460" s="6" t="str">
        <f>'Scenario List'!$A$19</f>
        <v>17- WA Maximum Customer Benefits</v>
      </c>
    </row>
    <row r="461" spans="1:2" x14ac:dyDescent="0.2">
      <c r="A461" s="6" t="str">
        <f t="shared" si="255"/>
        <v>17- WA Maximum Customer Benefits&amp;</v>
      </c>
      <c r="B461" s="6" t="str">
        <f>'Scenario List'!$A$19</f>
        <v>17- WA Maximum Customer Benefits</v>
      </c>
    </row>
    <row r="462" spans="1:2" x14ac:dyDescent="0.2">
      <c r="A462" s="6" t="str">
        <f t="shared" si="255"/>
        <v>17- WA Maximum Customer Benefits&amp;</v>
      </c>
      <c r="B462" s="6" t="str">
        <f>'Scenario List'!$A$19</f>
        <v>17- WA Maximum Customer Benefits</v>
      </c>
    </row>
    <row r="463" spans="1:2" x14ac:dyDescent="0.2">
      <c r="A463" s="6" t="str">
        <f t="shared" si="255"/>
        <v>17- WA Maximum Customer Benefits&amp;</v>
      </c>
      <c r="B463" s="6" t="str">
        <f>'Scenario List'!$A$19</f>
        <v>17- WA Maximum Customer Benefits</v>
      </c>
    </row>
    <row r="464" spans="1:2" x14ac:dyDescent="0.2">
      <c r="A464" s="6" t="str">
        <f t="shared" si="255"/>
        <v>17- WA Maximum Customer Benefits&amp;</v>
      </c>
      <c r="B464" s="6" t="str">
        <f>'Scenario List'!$A$19</f>
        <v>17- WA Maximum Customer Benefits</v>
      </c>
    </row>
    <row r="465" spans="1:94" x14ac:dyDescent="0.2">
      <c r="A465" s="6" t="str">
        <f t="shared" si="255"/>
        <v>17- WA Maximum Customer Benefits&amp;</v>
      </c>
      <c r="B465" s="6" t="str">
        <f>'Scenario List'!$A$19</f>
        <v>17- WA Maximum Customer Benefits</v>
      </c>
    </row>
    <row r="466" spans="1:94" x14ac:dyDescent="0.2">
      <c r="A466" s="6" t="str">
        <f t="shared" si="255"/>
        <v>17- WA Maximum Customer Benefits&amp;</v>
      </c>
      <c r="B466" s="6" t="str">
        <f>'Scenario List'!$A$19</f>
        <v>17- WA Maximum Customer Benefits</v>
      </c>
    </row>
    <row r="469" spans="1:94" x14ac:dyDescent="0.2">
      <c r="A469" s="6" t="str">
        <f t="shared" ref="A469:A493" si="256">B469&amp;"&amp;"&amp;C469</f>
        <v>18- National GHG Pricing&amp;</v>
      </c>
      <c r="B469" s="6" t="str">
        <f>'Scenario List'!$A$20</f>
        <v>18- National GHG Pricing</v>
      </c>
      <c r="BU469" s="8">
        <v>649.88231068725145</v>
      </c>
      <c r="BV469" s="8">
        <v>319.82861314182514</v>
      </c>
      <c r="BW469" s="8">
        <v>969.71092382907659</v>
      </c>
      <c r="BX469" s="8">
        <v>435.04799325663129</v>
      </c>
      <c r="BY469" s="8">
        <v>129.2638474358518</v>
      </c>
      <c r="BZ469" s="8">
        <v>564.31184069248309</v>
      </c>
      <c r="CA469" s="8">
        <v>0.11324589707611953</v>
      </c>
      <c r="CB469" s="8">
        <v>0.10353493267821583</v>
      </c>
      <c r="CC469" s="8">
        <v>6.5479154709604278E-13</v>
      </c>
      <c r="CD469" s="8">
        <v>1.708151861989677E-13</v>
      </c>
      <c r="CE469" s="8">
        <v>6.5369931689929217E-13</v>
      </c>
      <c r="CF469" s="8">
        <v>1.7053025658242404E-13</v>
      </c>
      <c r="CG469" s="8">
        <v>2.7180884179487457</v>
      </c>
      <c r="CH469" s="8">
        <v>3.1368079880371096</v>
      </c>
      <c r="CI469" s="8">
        <v>0</v>
      </c>
      <c r="CJ469" s="8">
        <v>0</v>
      </c>
      <c r="CK469" s="8">
        <v>0</v>
      </c>
      <c r="CL469" s="8">
        <v>0</v>
      </c>
      <c r="CM469" s="8">
        <v>0</v>
      </c>
      <c r="CN469" s="8">
        <v>0</v>
      </c>
      <c r="CO469" s="8">
        <v>5738.68305577928</v>
      </c>
      <c r="CP469" s="8">
        <v>3474.9427224133005</v>
      </c>
    </row>
    <row r="470" spans="1:94" x14ac:dyDescent="0.2">
      <c r="A470" s="6" t="str">
        <f t="shared" si="256"/>
        <v>18- National GHG Pricing&amp;</v>
      </c>
      <c r="B470" s="6" t="str">
        <f>'Scenario List'!$A$20</f>
        <v>18- National GHG Pricing</v>
      </c>
      <c r="BU470" s="8">
        <v>660.46417142945131</v>
      </c>
      <c r="BV470" s="8">
        <v>323.702704148929</v>
      </c>
      <c r="BW470" s="8">
        <v>984.16687557838031</v>
      </c>
      <c r="BX470" s="8">
        <v>434.90630187144876</v>
      </c>
      <c r="BY470" s="8">
        <v>128.73344812325041</v>
      </c>
      <c r="BZ470" s="8">
        <v>563.63974999469917</v>
      </c>
      <c r="CA470" s="8">
        <v>0.11407399548533927</v>
      </c>
      <c r="CB470" s="8">
        <v>0.10446906157832929</v>
      </c>
      <c r="CC470" s="8">
        <v>2.5622277929845155E-13</v>
      </c>
      <c r="CD470" s="8">
        <v>5.6938395399655898E-13</v>
      </c>
      <c r="CE470" s="8">
        <v>-2.5579538487363607E-13</v>
      </c>
      <c r="CF470" s="8">
        <v>-5.6843418860808015E-13</v>
      </c>
      <c r="CG470" s="8">
        <v>2.6457581302353756</v>
      </c>
      <c r="CH470" s="8">
        <v>3.1450639802246094</v>
      </c>
      <c r="CI470" s="8">
        <v>1.0380200044495842E-2</v>
      </c>
      <c r="CJ470" s="8">
        <v>0</v>
      </c>
      <c r="CK470" s="8">
        <v>0.11416085097882279</v>
      </c>
      <c r="CL470" s="8">
        <v>0</v>
      </c>
      <c r="CM470" s="8">
        <v>0.98767829065415058</v>
      </c>
      <c r="CN470" s="8">
        <v>0</v>
      </c>
      <c r="CO470" s="8">
        <v>5789.787309714543</v>
      </c>
      <c r="CP470" s="8">
        <v>3486.3111840005336</v>
      </c>
    </row>
    <row r="471" spans="1:94" x14ac:dyDescent="0.2">
      <c r="A471" s="6" t="str">
        <f t="shared" si="256"/>
        <v>18- National GHG Pricing&amp;</v>
      </c>
      <c r="B471" s="6" t="str">
        <f>'Scenario List'!$A$20</f>
        <v>18- National GHG Pricing</v>
      </c>
      <c r="BU471" s="8">
        <v>681.66898935648055</v>
      </c>
      <c r="BV471" s="8">
        <v>329.96772982072616</v>
      </c>
      <c r="BW471" s="8">
        <v>1011.6367191772067</v>
      </c>
      <c r="BX471" s="8">
        <v>433.64388431889694</v>
      </c>
      <c r="BY471" s="8">
        <v>127.45719094030881</v>
      </c>
      <c r="BZ471" s="8">
        <v>561.1010752592058</v>
      </c>
      <c r="CA471" s="8">
        <v>0.11703002692084974</v>
      </c>
      <c r="CB471" s="8">
        <v>0.10618757556334946</v>
      </c>
      <c r="CC471" s="8">
        <v>5.1244555859690311E-13</v>
      </c>
      <c r="CD471" s="8">
        <v>3.1316117469810747E-13</v>
      </c>
      <c r="CE471" s="8">
        <v>-5.1159076974727213E-13</v>
      </c>
      <c r="CF471" s="8">
        <v>-3.1263880373444408E-13</v>
      </c>
      <c r="CG471" s="8">
        <v>2.4903738330069287</v>
      </c>
      <c r="CH471" s="8">
        <v>2.9651426747479439</v>
      </c>
      <c r="CI471" s="8">
        <v>0.454670475539243</v>
      </c>
      <c r="CJ471" s="8">
        <v>0</v>
      </c>
      <c r="CK471" s="8">
        <v>0.55975956888744105</v>
      </c>
      <c r="CL471" s="8">
        <v>0</v>
      </c>
      <c r="CM471" s="8">
        <v>2.0004983228673998</v>
      </c>
      <c r="CN471" s="8">
        <v>0</v>
      </c>
      <c r="CO471" s="8">
        <v>5824.735816027026</v>
      </c>
      <c r="CP471" s="8">
        <v>3498.4601952232151</v>
      </c>
    </row>
    <row r="472" spans="1:94" x14ac:dyDescent="0.2">
      <c r="A472" s="6" t="str">
        <f t="shared" si="256"/>
        <v>18- National GHG Pricing&amp;</v>
      </c>
      <c r="B472" s="6" t="str">
        <f>'Scenario List'!$A$20</f>
        <v>18- National GHG Pricing</v>
      </c>
      <c r="BU472" s="8">
        <v>692.76416390200359</v>
      </c>
      <c r="BV472" s="8">
        <v>340.33005198571345</v>
      </c>
      <c r="BW472" s="8">
        <v>1033.0942158877169</v>
      </c>
      <c r="BX472" s="8">
        <v>312.03090017232728</v>
      </c>
      <c r="BY472" s="8">
        <v>129.90943652591878</v>
      </c>
      <c r="BZ472" s="8">
        <v>441.94033669824603</v>
      </c>
      <c r="CA472" s="8">
        <v>0.11957441234448477</v>
      </c>
      <c r="CB472" s="8">
        <v>0.11044700235193534</v>
      </c>
      <c r="CC472" s="8">
        <v>8.5407593099483852E-14</v>
      </c>
      <c r="CD472" s="8">
        <v>2.9892657584819346E-13</v>
      </c>
      <c r="CE472" s="8">
        <v>0</v>
      </c>
      <c r="CF472" s="8">
        <v>2.9842794901924208E-13</v>
      </c>
      <c r="CG472" s="8">
        <v>1.3941634338177737</v>
      </c>
      <c r="CH472" s="8">
        <v>1.4570194604492186</v>
      </c>
      <c r="CI472" s="8">
        <v>1.4307627098382938</v>
      </c>
      <c r="CJ472" s="8">
        <v>0</v>
      </c>
      <c r="CK472" s="8">
        <v>1.5898481240728632</v>
      </c>
      <c r="CL472" s="8">
        <v>0</v>
      </c>
      <c r="CM472" s="8">
        <v>3.0048112556803757</v>
      </c>
      <c r="CN472" s="8">
        <v>0</v>
      </c>
      <c r="CO472" s="8">
        <v>5793.5820073796631</v>
      </c>
      <c r="CP472" s="8">
        <v>3473.7468123520689</v>
      </c>
    </row>
    <row r="473" spans="1:94" x14ac:dyDescent="0.2">
      <c r="A473" s="6" t="str">
        <f t="shared" si="256"/>
        <v>18- National GHG Pricing&amp;</v>
      </c>
      <c r="B473" s="6" t="str">
        <f>'Scenario List'!$A$20</f>
        <v>18- National GHG Pricing</v>
      </c>
      <c r="BU473" s="8">
        <v>715.26816065922924</v>
      </c>
      <c r="BV473" s="8">
        <v>346.24615588867857</v>
      </c>
      <c r="BW473" s="8">
        <v>1061.5143165479078</v>
      </c>
      <c r="BX473" s="8">
        <v>313.23957628574766</v>
      </c>
      <c r="BY473" s="8">
        <v>127.52750829438544</v>
      </c>
      <c r="BZ473" s="8">
        <v>440.76708458013309</v>
      </c>
      <c r="CA473" s="8">
        <v>0.1226476062779539</v>
      </c>
      <c r="CB473" s="8">
        <v>0.11158938913046208</v>
      </c>
      <c r="CC473" s="8">
        <v>1.1387679079931181E-13</v>
      </c>
      <c r="CD473" s="8">
        <v>3.7009957009776334E-13</v>
      </c>
      <c r="CE473" s="8">
        <v>0</v>
      </c>
      <c r="CF473" s="8">
        <v>-3.694822225952521E-13</v>
      </c>
      <c r="CG473" s="8">
        <v>1.629924356329721</v>
      </c>
      <c r="CH473" s="8">
        <v>1.4052307406005862</v>
      </c>
      <c r="CI473" s="8">
        <v>3.1283509710090698</v>
      </c>
      <c r="CJ473" s="8">
        <v>0</v>
      </c>
      <c r="CK473" s="8">
        <v>3.3425748974627796</v>
      </c>
      <c r="CL473" s="8">
        <v>0</v>
      </c>
      <c r="CM473" s="8">
        <v>4.1747892728297042</v>
      </c>
      <c r="CN473" s="8">
        <v>0</v>
      </c>
      <c r="CO473" s="8">
        <v>5831.8966212698097</v>
      </c>
      <c r="CP473" s="8">
        <v>3494.1360805461286</v>
      </c>
    </row>
    <row r="474" spans="1:94" x14ac:dyDescent="0.2">
      <c r="A474" s="6" t="str">
        <f t="shared" si="256"/>
        <v>18- National GHG Pricing&amp;</v>
      </c>
      <c r="B474" s="6" t="str">
        <f>'Scenario List'!$A$20</f>
        <v>18- National GHG Pricing</v>
      </c>
      <c r="BU474" s="8">
        <v>742.6228096375055</v>
      </c>
      <c r="BV474" s="8">
        <v>355.2398812152054</v>
      </c>
      <c r="BW474" s="8">
        <v>1097.8626908527108</v>
      </c>
      <c r="BX474" s="8">
        <v>314.26476092901305</v>
      </c>
      <c r="BY474" s="8">
        <v>127.87920614339926</v>
      </c>
      <c r="BZ474" s="8">
        <v>442.14396707241229</v>
      </c>
      <c r="CA474" s="8">
        <v>0.12646778473425774</v>
      </c>
      <c r="CB474" s="8">
        <v>0.11373500553495283</v>
      </c>
      <c r="CC474" s="8">
        <v>3.7009957009776334E-13</v>
      </c>
      <c r="CD474" s="8">
        <v>2.9892657584819346E-13</v>
      </c>
      <c r="CE474" s="8">
        <v>3.694822225952521E-13</v>
      </c>
      <c r="CF474" s="8">
        <v>2.9842794901924208E-13</v>
      </c>
      <c r="CG474" s="8">
        <v>1.6124707552305153</v>
      </c>
      <c r="CH474" s="8">
        <v>1.3251190638427734</v>
      </c>
      <c r="CI474" s="8">
        <v>3.7086057963520349</v>
      </c>
      <c r="CJ474" s="8">
        <v>0</v>
      </c>
      <c r="CK474" s="8">
        <v>3.9784722455761088</v>
      </c>
      <c r="CL474" s="8">
        <v>0</v>
      </c>
      <c r="CM474" s="8">
        <v>5.3840527155214275</v>
      </c>
      <c r="CN474" s="8">
        <v>0</v>
      </c>
      <c r="CO474" s="8">
        <v>5872.0314521042055</v>
      </c>
      <c r="CP474" s="8">
        <v>3512.9530091282186</v>
      </c>
    </row>
    <row r="475" spans="1:94" x14ac:dyDescent="0.2">
      <c r="A475" s="6" t="str">
        <f t="shared" si="256"/>
        <v>18- National GHG Pricing&amp;</v>
      </c>
      <c r="B475" s="6" t="str">
        <f>'Scenario List'!$A$20</f>
        <v>18- National GHG Pricing</v>
      </c>
      <c r="BU475" s="8">
        <v>764.72052427378685</v>
      </c>
      <c r="BV475" s="8">
        <v>364.71527180240537</v>
      </c>
      <c r="BW475" s="8">
        <v>1129.4357960761922</v>
      </c>
      <c r="BX475" s="8">
        <v>313.99167586743295</v>
      </c>
      <c r="BY475" s="8">
        <v>128.35233129679023</v>
      </c>
      <c r="BZ475" s="8">
        <v>442.34400716422317</v>
      </c>
      <c r="CA475" s="8">
        <v>0.12943055044948559</v>
      </c>
      <c r="CB475" s="8">
        <v>0.11590862361524536</v>
      </c>
      <c r="CC475" s="8">
        <v>6.8326074479587081E-13</v>
      </c>
      <c r="CD475" s="8">
        <v>6.9749534364578478E-13</v>
      </c>
      <c r="CE475" s="8">
        <v>6.8212102632969618E-13</v>
      </c>
      <c r="CF475" s="8">
        <v>-6.9633188104489818E-13</v>
      </c>
      <c r="CG475" s="8">
        <v>1.5765387081985367</v>
      </c>
      <c r="CH475" s="8">
        <v>1.306230142211914</v>
      </c>
      <c r="CI475" s="8">
        <v>3.8710158394504677</v>
      </c>
      <c r="CJ475" s="8">
        <v>0</v>
      </c>
      <c r="CK475" s="8">
        <v>4.1990773511035107</v>
      </c>
      <c r="CL475" s="8">
        <v>0</v>
      </c>
      <c r="CM475" s="8">
        <v>6.6219542456963953</v>
      </c>
      <c r="CN475" s="8">
        <v>0</v>
      </c>
      <c r="CO475" s="8">
        <v>5908.34638049572</v>
      </c>
      <c r="CP475" s="8">
        <v>3533.9841834099807</v>
      </c>
    </row>
    <row r="476" spans="1:94" x14ac:dyDescent="0.2">
      <c r="A476" s="6" t="str">
        <f t="shared" si="256"/>
        <v>18- National GHG Pricing&amp;</v>
      </c>
      <c r="B476" s="6" t="str">
        <f>'Scenario List'!$A$20</f>
        <v>18- National GHG Pricing</v>
      </c>
      <c r="BU476" s="8">
        <v>784.58761553643444</v>
      </c>
      <c r="BV476" s="8">
        <v>372.60391339504503</v>
      </c>
      <c r="BW476" s="8">
        <v>1157.1915289314795</v>
      </c>
      <c r="BX476" s="8">
        <v>313.35733542216644</v>
      </c>
      <c r="BY476" s="8">
        <v>127.12151449310903</v>
      </c>
      <c r="BZ476" s="8">
        <v>440.47884991527548</v>
      </c>
      <c r="CA476" s="8">
        <v>0.13199934000055116</v>
      </c>
      <c r="CB476" s="8">
        <v>0.11784002643659583</v>
      </c>
      <c r="CC476" s="8">
        <v>9.1101432639449448E-13</v>
      </c>
      <c r="CD476" s="8">
        <v>1.708151861989677E-13</v>
      </c>
      <c r="CE476" s="8">
        <v>9.0949470177292824E-13</v>
      </c>
      <c r="CF476" s="8">
        <v>1.7053025658242404E-13</v>
      </c>
      <c r="CG476" s="8">
        <v>1.6086531775246355</v>
      </c>
      <c r="CH476" s="8">
        <v>1.3549070634765625</v>
      </c>
      <c r="CI476" s="8">
        <v>3.4342575825002135</v>
      </c>
      <c r="CJ476" s="8">
        <v>0</v>
      </c>
      <c r="CK476" s="8">
        <v>3.8205618050123165</v>
      </c>
      <c r="CL476" s="8">
        <v>0</v>
      </c>
      <c r="CM476" s="8">
        <v>7.861954474890374</v>
      </c>
      <c r="CN476" s="8">
        <v>0</v>
      </c>
      <c r="CO476" s="8">
        <v>5943.8752915973546</v>
      </c>
      <c r="CP476" s="8">
        <v>3553.2085983393263</v>
      </c>
    </row>
    <row r="477" spans="1:94" x14ac:dyDescent="0.2">
      <c r="A477" s="6" t="str">
        <f t="shared" si="256"/>
        <v>18- National GHG Pricing&amp;</v>
      </c>
      <c r="B477" s="6" t="str">
        <f>'Scenario List'!$A$20</f>
        <v>18- National GHG Pricing</v>
      </c>
      <c r="BU477" s="8">
        <v>819.28771704977601</v>
      </c>
      <c r="BV477" s="8">
        <v>387.20826541897657</v>
      </c>
      <c r="BW477" s="8">
        <v>1206.4959824687526</v>
      </c>
      <c r="BX477" s="8">
        <v>315.45561574641692</v>
      </c>
      <c r="BY477" s="8">
        <v>132.11117271355292</v>
      </c>
      <c r="BZ477" s="8">
        <v>447.56678845996987</v>
      </c>
      <c r="CA477" s="8">
        <v>0.13676482554613331</v>
      </c>
      <c r="CB477" s="8">
        <v>0.12156210535447788</v>
      </c>
      <c r="CC477" s="8">
        <v>8.1137213444509662E-13</v>
      </c>
      <c r="CD477" s="8">
        <v>2.9892657584819346E-13</v>
      </c>
      <c r="CE477" s="8">
        <v>-8.1001871876651421E-13</v>
      </c>
      <c r="CF477" s="8">
        <v>-2.9842794901924208E-13</v>
      </c>
      <c r="CG477" s="8">
        <v>1.3225657459463342</v>
      </c>
      <c r="CH477" s="8">
        <v>1.226169676513672</v>
      </c>
      <c r="CI477" s="8">
        <v>53.719918545558052</v>
      </c>
      <c r="CJ477" s="8">
        <v>0</v>
      </c>
      <c r="CK477" s="8">
        <v>43.002776790986502</v>
      </c>
      <c r="CL477" s="8">
        <v>0</v>
      </c>
      <c r="CM477" s="8">
        <v>844.55372350706136</v>
      </c>
      <c r="CN477" s="8">
        <v>0</v>
      </c>
      <c r="CO477" s="8">
        <v>5990.4855929013347</v>
      </c>
      <c r="CP477" s="8">
        <v>3576.5012636203487</v>
      </c>
    </row>
    <row r="478" spans="1:94" x14ac:dyDescent="0.2">
      <c r="A478" s="6" t="str">
        <f t="shared" si="256"/>
        <v>18- National GHG Pricing&amp;</v>
      </c>
      <c r="B478" s="6" t="str">
        <f>'Scenario List'!$A$20</f>
        <v>18- National GHG Pricing</v>
      </c>
      <c r="BU478" s="8">
        <v>861.02380352675618</v>
      </c>
      <c r="BV478" s="8">
        <v>401.02488293929378</v>
      </c>
      <c r="BW478" s="8">
        <v>1262.04868646605</v>
      </c>
      <c r="BX478" s="8">
        <v>323.31506528148236</v>
      </c>
      <c r="BY478" s="8">
        <v>135.97017694213358</v>
      </c>
      <c r="BZ478" s="8">
        <v>459.28524222361591</v>
      </c>
      <c r="CA478" s="8">
        <v>0.14251273495023922</v>
      </c>
      <c r="CB478" s="8">
        <v>0.12499720850828241</v>
      </c>
      <c r="CC478" s="8">
        <v>5.1244555859690311E-13</v>
      </c>
      <c r="CD478" s="8">
        <v>5.2668015744681708E-13</v>
      </c>
      <c r="CE478" s="8">
        <v>5.1159076974727213E-13</v>
      </c>
      <c r="CF478" s="8">
        <v>-5.2580162446247414E-13</v>
      </c>
      <c r="CG478" s="8">
        <v>1.1318104679648717</v>
      </c>
      <c r="CH478" s="8">
        <v>1.1318889069824218</v>
      </c>
      <c r="CI478" s="8">
        <v>127.59193898004821</v>
      </c>
      <c r="CJ478" s="8">
        <v>12.970370630554205</v>
      </c>
      <c r="CK478" s="8">
        <v>125.55625517702634</v>
      </c>
      <c r="CL478" s="8">
        <v>12.970370630554202</v>
      </c>
      <c r="CM478" s="8">
        <v>1722.8323757538269</v>
      </c>
      <c r="CN478" s="8">
        <v>4.6218758159539259</v>
      </c>
      <c r="CO478" s="8">
        <v>6041.7323674785794</v>
      </c>
      <c r="CP478" s="8">
        <v>3600.2135571741101</v>
      </c>
    </row>
    <row r="479" spans="1:94" x14ac:dyDescent="0.2">
      <c r="A479" s="6" t="str">
        <f t="shared" si="256"/>
        <v>18- National GHG Pricing&amp;</v>
      </c>
      <c r="B479" s="6" t="str">
        <f>'Scenario List'!$A$20</f>
        <v>18- National GHG Pricing</v>
      </c>
      <c r="BU479" s="8">
        <v>886.98250073502982</v>
      </c>
      <c r="BV479" s="8">
        <v>412.38191245791552</v>
      </c>
      <c r="BW479" s="8">
        <v>1299.3644131929454</v>
      </c>
      <c r="BX479" s="8">
        <v>318.32507549839551</v>
      </c>
      <c r="BY479" s="8">
        <v>136.90320255607691</v>
      </c>
      <c r="BZ479" s="8">
        <v>455.22827805447241</v>
      </c>
      <c r="CA479" s="8">
        <v>0.14569158985688235</v>
      </c>
      <c r="CB479" s="8">
        <v>0.12745066074268654</v>
      </c>
      <c r="CC479" s="8">
        <v>2.8469197699827953E-14</v>
      </c>
      <c r="CD479" s="8">
        <v>3.7009957009776334E-13</v>
      </c>
      <c r="CE479" s="8">
        <v>0</v>
      </c>
      <c r="CF479" s="8">
        <v>-3.694822225952521E-13</v>
      </c>
      <c r="CG479" s="8">
        <v>1.073033870602113</v>
      </c>
      <c r="CH479" s="8">
        <v>1.0533962707519529</v>
      </c>
      <c r="CI479" s="8">
        <v>126.74419380047431</v>
      </c>
      <c r="CJ479" s="8">
        <v>12.066458878944177</v>
      </c>
      <c r="CK479" s="8">
        <v>124.80562563224312</v>
      </c>
      <c r="CL479" s="8">
        <v>12.066458878944179</v>
      </c>
      <c r="CM479" s="8">
        <v>1727.8394807606003</v>
      </c>
      <c r="CN479" s="8">
        <v>5.0095170134210294</v>
      </c>
      <c r="CO479" s="8">
        <v>6088.0830637262034</v>
      </c>
      <c r="CP479" s="8">
        <v>3626.0303288247428</v>
      </c>
    </row>
    <row r="480" spans="1:94" x14ac:dyDescent="0.2">
      <c r="A480" s="6" t="str">
        <f t="shared" si="256"/>
        <v>18- National GHG Pricing&amp;</v>
      </c>
      <c r="B480" s="6" t="str">
        <f>'Scenario List'!$A$20</f>
        <v>18- National GHG Pricing</v>
      </c>
      <c r="BU480" s="8">
        <v>902.04508803510487</v>
      </c>
      <c r="BV480" s="8">
        <v>416.26744710351431</v>
      </c>
      <c r="BW480" s="8">
        <v>1318.3125351386193</v>
      </c>
      <c r="BX480" s="8">
        <v>301.0359758085516</v>
      </c>
      <c r="BY480" s="8">
        <v>129.98694339647466</v>
      </c>
      <c r="BZ480" s="8">
        <v>431.02291920502626</v>
      </c>
      <c r="CA480" s="8">
        <v>0.14693408527582977</v>
      </c>
      <c r="CB480" s="8">
        <v>0.12756388662517174</v>
      </c>
      <c r="CC480" s="8">
        <v>1.8504978504888167E-13</v>
      </c>
      <c r="CD480" s="8">
        <v>7.1172994249569875E-13</v>
      </c>
      <c r="CE480" s="8">
        <v>1.8474111129762605E-13</v>
      </c>
      <c r="CF480" s="8">
        <v>-7.1054273576010019E-13</v>
      </c>
      <c r="CG480" s="8">
        <v>1.1190371327063338</v>
      </c>
      <c r="CH480" s="8">
        <v>0.96838418920898439</v>
      </c>
      <c r="CI480" s="8">
        <v>125.79835132268558</v>
      </c>
      <c r="CJ480" s="8">
        <v>11.22554119881997</v>
      </c>
      <c r="CK480" s="8">
        <v>123.90401882523797</v>
      </c>
      <c r="CL480" s="8">
        <v>11.22554119881997</v>
      </c>
      <c r="CM480" s="8">
        <v>1724.9251916331186</v>
      </c>
      <c r="CN480" s="8">
        <v>5.1884283353289229</v>
      </c>
      <c r="CO480" s="8">
        <v>6139.1139186102018</v>
      </c>
      <c r="CP480" s="8">
        <v>3652.678306814289</v>
      </c>
    </row>
    <row r="481" spans="1:94" x14ac:dyDescent="0.2">
      <c r="A481" s="6" t="str">
        <f t="shared" si="256"/>
        <v>18- National GHG Pricing&amp;</v>
      </c>
      <c r="B481" s="6" t="str">
        <f>'Scenario List'!$A$20</f>
        <v>18- National GHG Pricing</v>
      </c>
      <c r="BU481" s="8">
        <v>931.44649233535938</v>
      </c>
      <c r="BV481" s="8">
        <v>429.95637409324456</v>
      </c>
      <c r="BW481" s="8">
        <v>1361.4028664286038</v>
      </c>
      <c r="BX481" s="8">
        <v>302.4151582943486</v>
      </c>
      <c r="BY481" s="8">
        <v>132.57202058670251</v>
      </c>
      <c r="BZ481" s="8">
        <v>434.98717888105114</v>
      </c>
      <c r="CA481" s="8">
        <v>0.15042866812058842</v>
      </c>
      <c r="CB481" s="8">
        <v>0.13071697725643075</v>
      </c>
      <c r="CC481" s="8">
        <v>2.7045737814836552E-13</v>
      </c>
      <c r="CD481" s="8">
        <v>4.9821095974698914E-13</v>
      </c>
      <c r="CE481" s="8">
        <v>-2.7000623958883807E-13</v>
      </c>
      <c r="CF481" s="8">
        <v>-4.9737991503207013E-13</v>
      </c>
      <c r="CG481" s="8">
        <v>1.0954888248576646</v>
      </c>
      <c r="CH481" s="8">
        <v>0.93819218344116218</v>
      </c>
      <c r="CI481" s="8">
        <v>128.12167547458802</v>
      </c>
      <c r="CJ481" s="8">
        <v>12.191143157682889</v>
      </c>
      <c r="CK481" s="8">
        <v>126.09048619183579</v>
      </c>
      <c r="CL481" s="8">
        <v>12.091984669561459</v>
      </c>
      <c r="CM481" s="8">
        <v>1746.198472572727</v>
      </c>
      <c r="CN481" s="8">
        <v>5.9880755670723449</v>
      </c>
      <c r="CO481" s="8">
        <v>6191.9480107919471</v>
      </c>
      <c r="CP481" s="8">
        <v>3680.5485723569227</v>
      </c>
    </row>
    <row r="482" spans="1:94" x14ac:dyDescent="0.2">
      <c r="A482" s="6" t="str">
        <f t="shared" si="256"/>
        <v>18- National GHG Pricing&amp;</v>
      </c>
      <c r="B482" s="6" t="str">
        <f>'Scenario List'!$A$20</f>
        <v>18- National GHG Pricing</v>
      </c>
      <c r="BU482" s="8">
        <v>963.7347876195613</v>
      </c>
      <c r="BV482" s="8">
        <v>455.52792333421479</v>
      </c>
      <c r="BW482" s="8">
        <v>1419.2627109537761</v>
      </c>
      <c r="BX482" s="8">
        <v>307.13353877579533</v>
      </c>
      <c r="BY482" s="8">
        <v>146.57654825871504</v>
      </c>
      <c r="BZ482" s="8">
        <v>453.71008703451037</v>
      </c>
      <c r="CA482" s="8">
        <v>0.15419595629371904</v>
      </c>
      <c r="CB482" s="8">
        <v>0.13732360893092421</v>
      </c>
      <c r="CC482" s="8">
        <v>1.8504978504888167E-13</v>
      </c>
      <c r="CD482" s="8">
        <v>3.5586497124784937E-13</v>
      </c>
      <c r="CE482" s="8">
        <v>-1.8474111129762605E-13</v>
      </c>
      <c r="CF482" s="8">
        <v>3.5527136788005009E-13</v>
      </c>
      <c r="CG482" s="8">
        <v>1.1509299626618994</v>
      </c>
      <c r="CH482" s="8">
        <v>0.98324967733398427</v>
      </c>
      <c r="CI482" s="8">
        <v>127.18499944176504</v>
      </c>
      <c r="CJ482" s="8">
        <v>100.08414604856794</v>
      </c>
      <c r="CK482" s="8">
        <v>125.18824347257737</v>
      </c>
      <c r="CL482" s="8">
        <v>94.971575694233081</v>
      </c>
      <c r="CM482" s="8">
        <v>1738.4290063207511</v>
      </c>
      <c r="CN482" s="8">
        <v>114.74734345976974</v>
      </c>
      <c r="CO482" s="8">
        <v>6250.0652467422569</v>
      </c>
      <c r="CP482" s="8">
        <v>3709.400355111477</v>
      </c>
    </row>
    <row r="483" spans="1:94" x14ac:dyDescent="0.2">
      <c r="A483" s="6" t="str">
        <f t="shared" si="256"/>
        <v>18- National GHG Pricing&amp;</v>
      </c>
      <c r="B483" s="6" t="str">
        <f>'Scenario List'!$A$20</f>
        <v>18- National GHG Pricing</v>
      </c>
      <c r="BU483" s="8">
        <v>994.70426038295363</v>
      </c>
      <c r="BV483" s="8">
        <v>470.09925510287417</v>
      </c>
      <c r="BW483" s="8">
        <v>1464.8035154858278</v>
      </c>
      <c r="BX483" s="8">
        <v>310.79010258484664</v>
      </c>
      <c r="BY483" s="8">
        <v>149.07186103344554</v>
      </c>
      <c r="BZ483" s="8">
        <v>459.86196361829218</v>
      </c>
      <c r="CA483" s="8">
        <v>0.15778330795366663</v>
      </c>
      <c r="CB483" s="8">
        <v>0.14037370075348235</v>
      </c>
      <c r="CC483" s="8">
        <v>5.8361855284647294E-13</v>
      </c>
      <c r="CD483" s="8">
        <v>4.1280336664750529E-13</v>
      </c>
      <c r="CE483" s="8">
        <v>5.8264504332328215E-13</v>
      </c>
      <c r="CF483" s="8">
        <v>4.1211478674085811E-13</v>
      </c>
      <c r="CG483" s="8">
        <v>1.13665795396736</v>
      </c>
      <c r="CH483" s="8">
        <v>0.96278470604354849</v>
      </c>
      <c r="CI483" s="8">
        <v>126.33234682767498</v>
      </c>
      <c r="CJ483" s="8">
        <v>99.407072517406775</v>
      </c>
      <c r="CK483" s="8">
        <v>124.38282772692281</v>
      </c>
      <c r="CL483" s="8">
        <v>94.280495121005231</v>
      </c>
      <c r="CM483" s="8">
        <v>1749.7906289271036</v>
      </c>
      <c r="CN483" s="8">
        <v>112.5731900305592</v>
      </c>
      <c r="CO483" s="8">
        <v>6304.2426558521038</v>
      </c>
      <c r="CP483" s="8">
        <v>3740.6245409332018</v>
      </c>
    </row>
    <row r="484" spans="1:94" x14ac:dyDescent="0.2">
      <c r="A484" s="6" t="str">
        <f t="shared" si="256"/>
        <v>18- National GHG Pricing&amp;</v>
      </c>
      <c r="B484" s="6" t="str">
        <f>'Scenario List'!$A$20</f>
        <v>18- National GHG Pricing</v>
      </c>
      <c r="BU484" s="8">
        <v>1040.4424351699674</v>
      </c>
      <c r="BV484" s="8">
        <v>485.78942570180385</v>
      </c>
      <c r="BW484" s="8">
        <v>1526.2318608717712</v>
      </c>
      <c r="BX484" s="8">
        <v>324.28855681823097</v>
      </c>
      <c r="BY484" s="8">
        <v>152.23148828606219</v>
      </c>
      <c r="BZ484" s="8">
        <v>476.52004510429316</v>
      </c>
      <c r="CA484" s="8">
        <v>0.16348078701805785</v>
      </c>
      <c r="CB484" s="8">
        <v>0.14363689034776372</v>
      </c>
      <c r="CC484" s="8">
        <v>3.1316117469810747E-13</v>
      </c>
      <c r="CD484" s="8">
        <v>6.6902614594595685E-13</v>
      </c>
      <c r="CE484" s="8">
        <v>-3.1263880373444408E-13</v>
      </c>
      <c r="CF484" s="8">
        <v>6.6791017161449417E-13</v>
      </c>
      <c r="CG484" s="8">
        <v>1.1048157226208106</v>
      </c>
      <c r="CH484" s="8">
        <v>0.91764840169403072</v>
      </c>
      <c r="CI484" s="8">
        <v>174.49575456175992</v>
      </c>
      <c r="CJ484" s="8">
        <v>98.777184586330051</v>
      </c>
      <c r="CK484" s="8">
        <v>172.58980590154442</v>
      </c>
      <c r="CL484" s="8">
        <v>93.650607189928522</v>
      </c>
      <c r="CM484" s="8">
        <v>2019.0923384670007</v>
      </c>
      <c r="CN484" s="8">
        <v>109.59137147690788</v>
      </c>
      <c r="CO484" s="8">
        <v>6364.3101684789517</v>
      </c>
      <c r="CP484" s="8">
        <v>3773.2367555325841</v>
      </c>
    </row>
    <row r="485" spans="1:94" x14ac:dyDescent="0.2">
      <c r="A485" s="6" t="str">
        <f t="shared" si="256"/>
        <v>18- National GHG Pricing&amp;</v>
      </c>
      <c r="B485" s="6" t="str">
        <f>'Scenario List'!$A$20</f>
        <v>18- National GHG Pricing</v>
      </c>
      <c r="BU485" s="8">
        <v>1084.2368031586702</v>
      </c>
      <c r="BV485" s="8">
        <v>507.33196342555925</v>
      </c>
      <c r="BW485" s="8">
        <v>1591.5687665842295</v>
      </c>
      <c r="BX485" s="8">
        <v>336.90386889196873</v>
      </c>
      <c r="BY485" s="8">
        <v>160.8212979700034</v>
      </c>
      <c r="BZ485" s="8">
        <v>497.72516686197213</v>
      </c>
      <c r="CA485" s="8">
        <v>0.16868384688630733</v>
      </c>
      <c r="CB485" s="8">
        <v>0.1485279487444173</v>
      </c>
      <c r="CC485" s="8">
        <v>6.2632234939621495E-13</v>
      </c>
      <c r="CD485" s="8">
        <v>4.4127256434733322E-13</v>
      </c>
      <c r="CE485" s="8">
        <v>6.2527760746888816E-13</v>
      </c>
      <c r="CF485" s="8">
        <v>-4.4053649617126212E-13</v>
      </c>
      <c r="CG485" s="8">
        <v>1.0844873760935507</v>
      </c>
      <c r="CH485" s="8">
        <v>0.88911781224655151</v>
      </c>
      <c r="CI485" s="8">
        <v>173.79847261859953</v>
      </c>
      <c r="CJ485" s="8">
        <v>98.191193866776075</v>
      </c>
      <c r="CK485" s="8">
        <v>171.91530713595341</v>
      </c>
      <c r="CL485" s="8">
        <v>93.06461647037456</v>
      </c>
      <c r="CM485" s="8">
        <v>2043.8156499626423</v>
      </c>
      <c r="CN485" s="8">
        <v>109.28790240611841</v>
      </c>
      <c r="CO485" s="8">
        <v>6427.6267299585852</v>
      </c>
      <c r="CP485" s="8">
        <v>3807.4763476113621</v>
      </c>
    </row>
    <row r="486" spans="1:94" x14ac:dyDescent="0.2">
      <c r="A486" s="6" t="str">
        <f t="shared" si="256"/>
        <v>18- National GHG Pricing&amp;</v>
      </c>
      <c r="B486" s="6" t="str">
        <f>'Scenario List'!$A$20</f>
        <v>18- National GHG Pricing</v>
      </c>
      <c r="BU486" s="8">
        <v>1123.9163974570517</v>
      </c>
      <c r="BV486" s="8">
        <v>519.84603245194978</v>
      </c>
      <c r="BW486" s="8">
        <v>1643.7624299090016</v>
      </c>
      <c r="BX486" s="8">
        <v>346.44808929116755</v>
      </c>
      <c r="BY486" s="8">
        <v>160.05055324987575</v>
      </c>
      <c r="BZ486" s="8">
        <v>506.4986425410433</v>
      </c>
      <c r="CA486" s="8">
        <v>0.17296282628874124</v>
      </c>
      <c r="CB486" s="8">
        <v>0.15065661800202471</v>
      </c>
      <c r="CC486" s="8">
        <v>5.5514935514664501E-13</v>
      </c>
      <c r="CD486" s="8">
        <v>6.2632234939621495E-13</v>
      </c>
      <c r="CE486" s="8">
        <v>5.5422333389287814E-13</v>
      </c>
      <c r="CF486" s="8">
        <v>6.2527760746888816E-13</v>
      </c>
      <c r="CG486" s="8">
        <v>0.96735940407222165</v>
      </c>
      <c r="CH486" s="8">
        <v>0.89017145100013728</v>
      </c>
      <c r="CI486" s="8">
        <v>221.98351129873319</v>
      </c>
      <c r="CJ486" s="8">
        <v>97.646041139660895</v>
      </c>
      <c r="CK486" s="8">
        <v>220.14065599072745</v>
      </c>
      <c r="CL486" s="8">
        <v>92.533470785326017</v>
      </c>
      <c r="CM486" s="8">
        <v>2351.895296931852</v>
      </c>
      <c r="CN486" s="8">
        <v>116.15674003055921</v>
      </c>
      <c r="CO486" s="8">
        <v>6498.022850186343</v>
      </c>
      <c r="CP486" s="8">
        <v>3843.6035842549504</v>
      </c>
    </row>
    <row r="487" spans="1:94" x14ac:dyDescent="0.2">
      <c r="A487" s="6" t="str">
        <f t="shared" si="256"/>
        <v>18- National GHG Pricing&amp;</v>
      </c>
      <c r="B487" s="6" t="str">
        <f>'Scenario List'!$A$20</f>
        <v>18- National GHG Pricing</v>
      </c>
      <c r="BU487" s="8">
        <v>1167.5088364338924</v>
      </c>
      <c r="BV487" s="8">
        <v>531.42043130939624</v>
      </c>
      <c r="BW487" s="8">
        <v>1698.9292677432886</v>
      </c>
      <c r="BX487" s="8">
        <v>351.27162924015448</v>
      </c>
      <c r="BY487" s="8">
        <v>157.71295542933754</v>
      </c>
      <c r="BZ487" s="8">
        <v>508.98458466949205</v>
      </c>
      <c r="CA487" s="8">
        <v>0.17780388197871441</v>
      </c>
      <c r="CB487" s="8">
        <v>0.15223422677526188</v>
      </c>
      <c r="CC487" s="8">
        <v>3.5586497124784937E-13</v>
      </c>
      <c r="CD487" s="8">
        <v>3.4163037239793541E-13</v>
      </c>
      <c r="CE487" s="8">
        <v>3.5527136788005009E-13</v>
      </c>
      <c r="CF487" s="8">
        <v>-3.4106051316484809E-13</v>
      </c>
      <c r="CG487" s="8">
        <v>0.83640375967797331</v>
      </c>
      <c r="CH487" s="8">
        <v>0.82411481864013669</v>
      </c>
      <c r="CI487" s="8">
        <v>278.73329391484612</v>
      </c>
      <c r="CJ487" s="8">
        <v>116.81982413199495</v>
      </c>
      <c r="CK487" s="8">
        <v>278.28984929292426</v>
      </c>
      <c r="CL487" s="8">
        <v>111.69324673559343</v>
      </c>
      <c r="CM487" s="8">
        <v>2935.1192753913037</v>
      </c>
      <c r="CN487" s="8">
        <v>232.86303745001317</v>
      </c>
      <c r="CO487" s="8">
        <v>6566.2730388173377</v>
      </c>
      <c r="CP487" s="8">
        <v>3882.7459422701654</v>
      </c>
    </row>
    <row r="488" spans="1:94" x14ac:dyDescent="0.2">
      <c r="A488" s="6" t="str">
        <f t="shared" si="256"/>
        <v>18- National GHG Pricing&amp;</v>
      </c>
      <c r="B488" s="6" t="str">
        <f>'Scenario List'!$A$20</f>
        <v>18- National GHG Pricing</v>
      </c>
      <c r="BU488" s="8">
        <v>1240.3222915674851</v>
      </c>
      <c r="BV488" s="8">
        <v>560.97617401404375</v>
      </c>
      <c r="BW488" s="8">
        <v>1801.2984655815289</v>
      </c>
      <c r="BX488" s="8">
        <v>354.65190274550463</v>
      </c>
      <c r="BY488" s="8">
        <v>172.55704501548317</v>
      </c>
      <c r="BZ488" s="8">
        <v>527.20894776098783</v>
      </c>
      <c r="CA488" s="8">
        <v>0.18671752147838722</v>
      </c>
      <c r="CB488" s="8">
        <v>0.1587991737762115</v>
      </c>
      <c r="CC488" s="8">
        <v>2.348708810235806E-13</v>
      </c>
      <c r="CD488" s="8">
        <v>4.6974176204716121E-13</v>
      </c>
      <c r="CE488" s="8">
        <v>-2.3447910280083306E-13</v>
      </c>
      <c r="CF488" s="8">
        <v>4.6895820560166612E-13</v>
      </c>
      <c r="CG488" s="8">
        <v>0.56726110651507133</v>
      </c>
      <c r="CH488" s="8">
        <v>0.62003418551900247</v>
      </c>
      <c r="CI488" s="8">
        <v>482.18976612524045</v>
      </c>
      <c r="CJ488" s="8">
        <v>240.24608228650155</v>
      </c>
      <c r="CK488" s="8">
        <v>483.79421933348118</v>
      </c>
      <c r="CL488" s="8">
        <v>228.09082148966229</v>
      </c>
      <c r="CM488" s="8">
        <v>4368.9985307211773</v>
      </c>
      <c r="CN488" s="8">
        <v>393.54560317292726</v>
      </c>
      <c r="CO488" s="8">
        <v>6642.773970792312</v>
      </c>
      <c r="CP488" s="8">
        <v>3924.1827557168563</v>
      </c>
    </row>
    <row r="489" spans="1:94" x14ac:dyDescent="0.2">
      <c r="A489" s="6" t="str">
        <f t="shared" si="256"/>
        <v>18- National GHG Pricing&amp;</v>
      </c>
      <c r="B489" s="6" t="str">
        <f>'Scenario List'!$A$20</f>
        <v>18- National GHG Pricing</v>
      </c>
      <c r="BU489" s="8">
        <v>1317.5985285277711</v>
      </c>
      <c r="BV489" s="8">
        <v>591.69846047003546</v>
      </c>
      <c r="BW489" s="8">
        <v>1909.2969889978067</v>
      </c>
      <c r="BX489" s="8">
        <v>395.51710211120036</v>
      </c>
      <c r="BY489" s="8">
        <v>188.30591885515318</v>
      </c>
      <c r="BZ489" s="8">
        <v>583.82302096635351</v>
      </c>
      <c r="CA489" s="8">
        <v>0.19592636338623204</v>
      </c>
      <c r="CB489" s="8">
        <v>0.16542828152905051</v>
      </c>
      <c r="CC489" s="8">
        <v>1.9928438389879564E-13</v>
      </c>
      <c r="CD489" s="8">
        <v>5.4091475629673104E-13</v>
      </c>
      <c r="CE489" s="8">
        <v>-1.9895196601282805E-13</v>
      </c>
      <c r="CF489" s="8">
        <v>-5.4001247917767614E-13</v>
      </c>
      <c r="CG489" s="8">
        <v>0.46307365312753934</v>
      </c>
      <c r="CH489" s="8">
        <v>0.60641390500466597</v>
      </c>
      <c r="CI489" s="8">
        <v>523.90602427056945</v>
      </c>
      <c r="CJ489" s="8">
        <v>259.99904549257843</v>
      </c>
      <c r="CK489" s="8">
        <v>529.20889496495033</v>
      </c>
      <c r="CL489" s="8">
        <v>247.84378469573917</v>
      </c>
      <c r="CM489" s="8">
        <v>4964.2343479458459</v>
      </c>
      <c r="CN489" s="8">
        <v>511.78558022438273</v>
      </c>
      <c r="CO489" s="8">
        <v>6724.9680224522572</v>
      </c>
      <c r="CP489" s="8">
        <v>3968.3905664239373</v>
      </c>
    </row>
    <row r="490" spans="1:94" x14ac:dyDescent="0.2">
      <c r="A490" s="6" t="str">
        <f t="shared" si="256"/>
        <v>18- National GHG Pricing&amp;</v>
      </c>
      <c r="B490" s="6" t="str">
        <f>'Scenario List'!$A$20</f>
        <v>18- National GHG Pricing</v>
      </c>
      <c r="BU490" s="8">
        <v>1384.8907481833896</v>
      </c>
      <c r="BV490" s="8">
        <v>619.24093088136499</v>
      </c>
      <c r="BW490" s="8">
        <v>2004.1316790647547</v>
      </c>
      <c r="BX490" s="8">
        <v>428.87901661073215</v>
      </c>
      <c r="BY490" s="8">
        <v>200.23078665098123</v>
      </c>
      <c r="BZ490" s="8">
        <v>629.10980326171341</v>
      </c>
      <c r="CA490" s="8">
        <v>0.20314863557040783</v>
      </c>
      <c r="CB490" s="8">
        <v>0.17090496524175272</v>
      </c>
      <c r="CC490" s="8">
        <v>4.2703796549741926E-14</v>
      </c>
      <c r="CD490" s="8">
        <v>1.4234598849913974E-13</v>
      </c>
      <c r="CE490" s="8">
        <v>0</v>
      </c>
      <c r="CF490" s="8">
        <v>-1.4210854715202004E-13</v>
      </c>
      <c r="CG490" s="8">
        <v>0.43619124247486035</v>
      </c>
      <c r="CH490" s="8">
        <v>0.64866702657040365</v>
      </c>
      <c r="CI490" s="8">
        <v>566.59205548950843</v>
      </c>
      <c r="CJ490" s="8">
        <v>277.03469978702412</v>
      </c>
      <c r="CK490" s="8">
        <v>579.19042781852329</v>
      </c>
      <c r="CL490" s="8">
        <v>264.91265008525818</v>
      </c>
      <c r="CM490" s="8">
        <v>5748.4737327508446</v>
      </c>
      <c r="CN490" s="8">
        <v>631.80211043055886</v>
      </c>
      <c r="CO490" s="8">
        <v>6817.1304438981097</v>
      </c>
      <c r="CP490" s="8">
        <v>4016.2956281717052</v>
      </c>
    </row>
    <row r="491" spans="1:94" x14ac:dyDescent="0.2">
      <c r="A491" s="6" t="str">
        <f t="shared" si="256"/>
        <v>18- National GHG Pricing&amp;</v>
      </c>
      <c r="B491" s="6" t="str">
        <f>'Scenario List'!$A$20</f>
        <v>18- National GHG Pricing</v>
      </c>
      <c r="BU491" s="8">
        <v>1628.6839332197628</v>
      </c>
      <c r="BV491" s="8">
        <v>669.79187678994867</v>
      </c>
      <c r="BW491" s="8">
        <v>2298.4758100097115</v>
      </c>
      <c r="BX491" s="8">
        <v>574.78543058655623</v>
      </c>
      <c r="BY491" s="8">
        <v>234.29981262504367</v>
      </c>
      <c r="BZ491" s="8">
        <v>809.08524321159985</v>
      </c>
      <c r="CA491" s="8">
        <v>0.23568846352847195</v>
      </c>
      <c r="CB491" s="8">
        <v>0.18216283627707278</v>
      </c>
      <c r="CC491" s="8">
        <v>8.1848943387005347E-14</v>
      </c>
      <c r="CD491" s="8">
        <v>4.8397636089707518E-13</v>
      </c>
      <c r="CE491" s="8">
        <v>-8.1712414612411521E-14</v>
      </c>
      <c r="CF491" s="8">
        <v>4.8316906031686813E-13</v>
      </c>
      <c r="CG491" s="8">
        <v>0.31899391227633744</v>
      </c>
      <c r="CH491" s="8">
        <v>0.32570910243583096</v>
      </c>
      <c r="CI491" s="8">
        <v>962.91802571837297</v>
      </c>
      <c r="CJ491" s="8">
        <v>341.32291710900984</v>
      </c>
      <c r="CK491" s="8">
        <v>965.10660616460802</v>
      </c>
      <c r="CL491" s="8">
        <v>329.26681480029208</v>
      </c>
      <c r="CM491" s="8">
        <v>6983.6663841897425</v>
      </c>
      <c r="CN491" s="8">
        <v>727.92361388894244</v>
      </c>
      <c r="CO491" s="8">
        <v>6910.3252184552193</v>
      </c>
      <c r="CP491" s="8">
        <v>4068.6757739471204</v>
      </c>
    </row>
    <row r="492" spans="1:94" x14ac:dyDescent="0.2">
      <c r="A492" s="6" t="str">
        <f t="shared" si="256"/>
        <v>18- National GHG Pricing&amp;</v>
      </c>
      <c r="B492" s="6" t="str">
        <f>'Scenario List'!$A$20</f>
        <v>18- National GHG Pricing</v>
      </c>
      <c r="BU492" s="16">
        <f>NPV($B$1,BU469:BU491)</f>
        <v>10168.134686616682</v>
      </c>
      <c r="BV492" s="16">
        <f t="shared" ref="BV492:BZ492" si="257">NPV($B$1,BV469:BV491)</f>
        <v>4779.215071119178</v>
      </c>
      <c r="BW492" s="16">
        <f t="shared" si="257"/>
        <v>14947.349757735858</v>
      </c>
      <c r="BX492" s="16">
        <f t="shared" si="257"/>
        <v>4158.4919958737255</v>
      </c>
      <c r="BY492" s="16">
        <f t="shared" si="257"/>
        <v>1648.1746103985215</v>
      </c>
      <c r="BZ492" s="16">
        <f t="shared" si="257"/>
        <v>5806.6666062722488</v>
      </c>
      <c r="CA492" s="17"/>
      <c r="CB492" s="17"/>
      <c r="CC492" s="16">
        <f t="shared" ref="CC492:CH492" si="258">NPV($B$1,CC469:CC491)</f>
        <v>4.6767868567273599E-12</v>
      </c>
      <c r="CD492" s="16">
        <f t="shared" si="258"/>
        <v>4.8008720586751034E-12</v>
      </c>
      <c r="CE492" s="16">
        <f t="shared" si="258"/>
        <v>1.383239599333593E-12</v>
      </c>
      <c r="CF492" s="16">
        <f t="shared" si="258"/>
        <v>-1.3992009847398814E-12</v>
      </c>
      <c r="CG492" s="52">
        <f t="shared" si="258"/>
        <v>17.925058760333986</v>
      </c>
      <c r="CH492" s="52">
        <f t="shared" si="258"/>
        <v>18.115157508082902</v>
      </c>
    </row>
    <row r="493" spans="1:94" x14ac:dyDescent="0.2">
      <c r="A493" s="6" t="str">
        <f t="shared" si="256"/>
        <v>18- National GHG Pricing&amp;</v>
      </c>
      <c r="B493" s="6" t="str">
        <f>'Scenario List'!$A$20</f>
        <v>18- National GHG Pricing</v>
      </c>
      <c r="BU493" s="16">
        <f>-PMT($B$1,COUNT(BU469:BU491),BU492)</f>
        <v>864.64893545823418</v>
      </c>
      <c r="BV493" s="16">
        <f t="shared" ref="BV493:BZ493" si="259">-PMT($B$1,COUNT(BV469:BV491),BV492)</f>
        <v>406.40130672227855</v>
      </c>
      <c r="BW493" s="16">
        <f t="shared" si="259"/>
        <v>1271.0502421805124</v>
      </c>
      <c r="BX493" s="16">
        <f t="shared" si="259"/>
        <v>353.61802219992092</v>
      </c>
      <c r="BY493" s="16">
        <f t="shared" si="259"/>
        <v>140.15278772871494</v>
      </c>
      <c r="BZ493" s="16">
        <f t="shared" si="259"/>
        <v>493.77080992863608</v>
      </c>
      <c r="CA493" s="17"/>
      <c r="CB493" s="17"/>
      <c r="CC493" s="16">
        <f t="shared" ref="CC493:CH493" si="260">-PMT($B$1,COUNT(CC469:CC491),CC492)</f>
        <v>3.9769130736995468E-13</v>
      </c>
      <c r="CD493" s="16">
        <f t="shared" si="260"/>
        <v>4.0824291207199038E-13</v>
      </c>
      <c r="CE493" s="16">
        <f t="shared" si="260"/>
        <v>1.1762399731207975E-13</v>
      </c>
      <c r="CF493" s="16">
        <f t="shared" si="260"/>
        <v>-1.1898127623543536E-13</v>
      </c>
      <c r="CG493" s="52">
        <f t="shared" si="260"/>
        <v>1.5242601964693421</v>
      </c>
      <c r="CH493" s="52">
        <f t="shared" si="260"/>
        <v>1.5404252734415604</v>
      </c>
    </row>
  </sheetData>
  <mergeCells count="44">
    <mergeCell ref="CM2:CN2"/>
    <mergeCell ref="CO2:CP2"/>
    <mergeCell ref="BR2:BS2"/>
    <mergeCell ref="BU1:CP1"/>
    <mergeCell ref="BU2:BW2"/>
    <mergeCell ref="BX2:BZ2"/>
    <mergeCell ref="CA2:CB2"/>
    <mergeCell ref="CC2:CD2"/>
    <mergeCell ref="CE2:CF2"/>
    <mergeCell ref="CG2:CH2"/>
    <mergeCell ref="CI2:CJ2"/>
    <mergeCell ref="CK2:CL2"/>
    <mergeCell ref="AX1:BS1"/>
    <mergeCell ref="AX2:AZ2"/>
    <mergeCell ref="BA2:BC2"/>
    <mergeCell ref="BD2:BE2"/>
    <mergeCell ref="BP2:BQ2"/>
    <mergeCell ref="N2:O2"/>
    <mergeCell ref="P2:Q2"/>
    <mergeCell ref="R2:S2"/>
    <mergeCell ref="T2:U2"/>
    <mergeCell ref="V2:W2"/>
    <mergeCell ref="X2:Y2"/>
    <mergeCell ref="AO2:AP2"/>
    <mergeCell ref="AQ2:AR2"/>
    <mergeCell ref="AS2:AT2"/>
    <mergeCell ref="AU2:AV2"/>
    <mergeCell ref="BF2:BG2"/>
    <mergeCell ref="BH2:BI2"/>
    <mergeCell ref="BJ2:BK2"/>
    <mergeCell ref="BL2:BM2"/>
    <mergeCell ref="BN2:BO2"/>
    <mergeCell ref="AA1:AV1"/>
    <mergeCell ref="D1:Y1"/>
    <mergeCell ref="D2:F2"/>
    <mergeCell ref="G2:I2"/>
    <mergeCell ref="J2:K2"/>
    <mergeCell ref="L2:M2"/>
    <mergeCell ref="AA2:AC2"/>
    <mergeCell ref="AD2:AF2"/>
    <mergeCell ref="AG2:AH2"/>
    <mergeCell ref="AI2:AJ2"/>
    <mergeCell ref="AK2:AL2"/>
    <mergeCell ref="AM2:A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DBCCE-8CAD-4709-9629-475FC6B18463}">
  <dimension ref="B3:O15"/>
  <sheetViews>
    <sheetView workbookViewId="0">
      <selection activeCell="F11" sqref="F11:H11"/>
    </sheetView>
  </sheetViews>
  <sheetFormatPr defaultRowHeight="15" x14ac:dyDescent="0.25"/>
  <cols>
    <col min="2" max="2" width="30.85546875" customWidth="1"/>
    <col min="3" max="4" width="11" customWidth="1"/>
    <col min="5" max="5" width="11.85546875" customWidth="1"/>
    <col min="6" max="6" width="12.42578125" customWidth="1"/>
    <col min="7" max="15" width="11" customWidth="1"/>
  </cols>
  <sheetData>
    <row r="3" spans="2:15" x14ac:dyDescent="0.25">
      <c r="C3" t="s">
        <v>234</v>
      </c>
    </row>
    <row r="4" spans="2:15" s="111" customFormat="1" ht="30" x14ac:dyDescent="0.25">
      <c r="B4" s="111" t="s">
        <v>236</v>
      </c>
      <c r="C4" s="111" t="s">
        <v>237</v>
      </c>
      <c r="D4" s="111" t="s">
        <v>238</v>
      </c>
      <c r="E4" s="111" t="s">
        <v>239</v>
      </c>
      <c r="F4" s="111" t="s">
        <v>240</v>
      </c>
      <c r="G4" s="111" t="s">
        <v>247</v>
      </c>
      <c r="J4"/>
      <c r="K4"/>
      <c r="L4"/>
      <c r="M4"/>
      <c r="N4"/>
      <c r="O4"/>
    </row>
    <row r="5" spans="2:15" x14ac:dyDescent="0.25">
      <c r="B5" t="str">
        <f>'Scenario List'!A3</f>
        <v>1- Preferred Resource Strategy</v>
      </c>
      <c r="C5" s="50">
        <f>'Summary Table'!B4</f>
        <v>10212.54177015306</v>
      </c>
      <c r="D5" s="50">
        <f>NPV(Sensitivities!$B$1,Sensitivities!D5:D26)</f>
        <v>10198.989123515265</v>
      </c>
      <c r="E5" s="50">
        <f>NPV(Sensitivities!B1,Sensitivities!AA5:AA26)</f>
        <v>10319.860570663404</v>
      </c>
      <c r="F5" s="50">
        <f>NPV(Sensitivities!B1,Sensitivities!AX5:AX26)</f>
        <v>9925.4863980947466</v>
      </c>
      <c r="G5" s="50">
        <f>NPV(Sensitivities!B1,Sensitivities!BU5:BU26)</f>
        <v>10182.092260823114</v>
      </c>
    </row>
    <row r="6" spans="2:15" x14ac:dyDescent="0.25">
      <c r="B6" t="str">
        <f>'Scenario List'!A5</f>
        <v>3- Baseline Portfolio</v>
      </c>
      <c r="C6" s="50">
        <f>'Summary Table'!B6</f>
        <v>10063.54613897866</v>
      </c>
      <c r="D6" s="50">
        <f>NPV(Sensitivities!B1,Sensitivities!D62:D83)</f>
        <v>10071.87453410124</v>
      </c>
      <c r="E6" s="50">
        <f>NPV(Sensitivities!B1,Sensitivities!AA62:AA83)</f>
        <v>10253.829689330811</v>
      </c>
      <c r="F6" s="50">
        <f>NPV(Sensitivities!B1,Sensitivities!AX62:AX83)</f>
        <v>9762.7971698043584</v>
      </c>
      <c r="G6" s="50">
        <f>NPV(Sensitivities!B1,Sensitivities!BU62:BU83)</f>
        <v>10065.708719805436</v>
      </c>
    </row>
    <row r="7" spans="2:15" x14ac:dyDescent="0.25">
      <c r="B7" t="str">
        <f>'Scenario List'!A17</f>
        <v>15- Clean Portfolio by 2045</v>
      </c>
      <c r="C7" s="50">
        <f>'Summary Table'!B18</f>
        <v>10227.159624866797</v>
      </c>
      <c r="D7" s="50">
        <f>NPV(Sensitivities!$B$1,Sensitivities!D389:D410)</f>
        <v>10217.793965656965</v>
      </c>
      <c r="E7" s="50">
        <f>NPV(Sensitivities!$B$1,Sensitivities!AA389:AA410)</f>
        <v>10348.14528329229</v>
      </c>
      <c r="F7" s="50">
        <f>NPV(Sensitivities!$B$1,Sensitivities!AX389:AX410)</f>
        <v>9940.5360163535534</v>
      </c>
      <c r="G7" s="50">
        <f>NPV(Sensitivities!$B$1,Sensitivities!BU389:BU410)</f>
        <v>10202.380663335436</v>
      </c>
    </row>
    <row r="9" spans="2:15" x14ac:dyDescent="0.25">
      <c r="B9" s="196" t="s">
        <v>236</v>
      </c>
      <c r="C9" s="195" t="s">
        <v>263</v>
      </c>
      <c r="D9" s="195"/>
      <c r="E9" s="195"/>
      <c r="F9" s="195"/>
      <c r="G9" s="195"/>
      <c r="H9" s="195"/>
    </row>
    <row r="10" spans="2:15" x14ac:dyDescent="0.25">
      <c r="B10" s="196"/>
      <c r="C10" s="195" t="s">
        <v>9</v>
      </c>
      <c r="D10" s="195"/>
      <c r="E10" s="195"/>
      <c r="F10" s="195" t="s">
        <v>8</v>
      </c>
      <c r="G10" s="195"/>
      <c r="H10" s="195"/>
    </row>
    <row r="11" spans="2:15" ht="40.5" x14ac:dyDescent="0.25">
      <c r="B11" s="196"/>
      <c r="C11" s="161" t="s">
        <v>239</v>
      </c>
      <c r="D11" s="161" t="s">
        <v>240</v>
      </c>
      <c r="E11" s="161" t="s">
        <v>261</v>
      </c>
      <c r="F11" s="161" t="s">
        <v>239</v>
      </c>
      <c r="G11" s="161" t="s">
        <v>240</v>
      </c>
      <c r="H11" s="161" t="s">
        <v>261</v>
      </c>
      <c r="J11" s="111"/>
      <c r="K11" s="111"/>
    </row>
    <row r="12" spans="2:15" x14ac:dyDescent="0.25">
      <c r="B12" s="162" t="str">
        <f>B5</f>
        <v>1- Preferred Resource Strategy</v>
      </c>
      <c r="C12" s="163">
        <f t="shared" ref="C12:E14" si="0">(E5-$D5)/($D5)</f>
        <v>1.1851316408353943E-2</v>
      </c>
      <c r="D12" s="163">
        <f t="shared" si="0"/>
        <v>-2.68166503668405E-2</v>
      </c>
      <c r="E12" s="163">
        <f t="shared" si="0"/>
        <v>-1.6567193559597333E-3</v>
      </c>
      <c r="F12" s="163">
        <f>('ID Sensitivities'!E5-'ID Sensitivities'!$D5)/('ID Sensitivities'!$D5)</f>
        <v>3.2510209645719747E-2</v>
      </c>
      <c r="G12" s="163">
        <f>('ID Sensitivities'!F5-'ID Sensitivities'!$D5)/('ID Sensitivities'!$D5)</f>
        <v>-4.0274931556956557E-2</v>
      </c>
      <c r="H12" s="163">
        <f>('ID Sensitivities'!G5-'ID Sensitivities'!$D5)/('ID Sensitivities'!$D5)</f>
        <v>1.1583343528383991E-3</v>
      </c>
    </row>
    <row r="13" spans="2:15" x14ac:dyDescent="0.25">
      <c r="B13" s="162" t="str">
        <f t="shared" ref="B13:B14" si="1">B6</f>
        <v>3- Baseline Portfolio</v>
      </c>
      <c r="C13" s="163">
        <f t="shared" si="0"/>
        <v>1.8065669366065764E-2</v>
      </c>
      <c r="D13" s="163">
        <f t="shared" si="0"/>
        <v>-3.0687173797728604E-2</v>
      </c>
      <c r="E13" s="163">
        <f t="shared" si="0"/>
        <v>-6.1218140425874708E-4</v>
      </c>
      <c r="F13" s="163">
        <f>('ID Sensitivities'!E6-'ID Sensitivities'!$D6)/('ID Sensitivities'!$D6)</f>
        <v>2.7731450711966726E-2</v>
      </c>
      <c r="G13" s="163">
        <f>('ID Sensitivities'!F6-'ID Sensitivities'!$D6)/('ID Sensitivities'!$D6)</f>
        <v>-3.7580824342662161E-2</v>
      </c>
      <c r="H13" s="163">
        <f>('ID Sensitivities'!G6-'ID Sensitivities'!$D6)/('ID Sensitivities'!$D6)</f>
        <v>3.279182853730614E-4</v>
      </c>
    </row>
    <row r="14" spans="2:15" x14ac:dyDescent="0.25">
      <c r="B14" s="162" t="str">
        <f t="shared" si="1"/>
        <v>15- Clean Portfolio by 2045</v>
      </c>
      <c r="C14" s="163">
        <f t="shared" si="0"/>
        <v>1.2757285777482729E-2</v>
      </c>
      <c r="D14" s="163">
        <f t="shared" si="0"/>
        <v>-2.7134815033000637E-2</v>
      </c>
      <c r="E14" s="163">
        <f t="shared" si="0"/>
        <v>-1.5084765237324913E-3</v>
      </c>
      <c r="F14" s="163">
        <f>('ID Sensitivities'!E7-'ID Sensitivities'!$D7)/('ID Sensitivities'!$D7)</f>
        <v>2.3224145181471419E-2</v>
      </c>
      <c r="G14" s="163">
        <f>('ID Sensitivities'!F7-'ID Sensitivities'!$D7)/('ID Sensitivities'!$D7)</f>
        <v>-3.4415340083437135E-2</v>
      </c>
      <c r="H14" s="163">
        <f>('ID Sensitivities'!G7-'ID Sensitivities'!$D7)/('ID Sensitivities'!$D7)</f>
        <v>-3.503180425654302E-4</v>
      </c>
    </row>
    <row r="15" spans="2:15" x14ac:dyDescent="0.25">
      <c r="B15" s="165"/>
      <c r="C15" s="166"/>
      <c r="D15" s="166"/>
      <c r="E15" s="166"/>
    </row>
  </sheetData>
  <mergeCells count="4">
    <mergeCell ref="C9:H9"/>
    <mergeCell ref="C10:E10"/>
    <mergeCell ref="F10:H10"/>
    <mergeCell ref="B9:B11"/>
  </mergeCells>
  <conditionalFormatting sqref="C12:E1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2:I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2:I14 C12:E1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H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H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F196-3297-42A7-BCA0-56248BCBCA81}">
  <dimension ref="B3:O14"/>
  <sheetViews>
    <sheetView topLeftCell="A3" workbookViewId="0">
      <selection activeCell="D20" sqref="D20"/>
    </sheetView>
  </sheetViews>
  <sheetFormatPr defaultRowHeight="15" x14ac:dyDescent="0.25"/>
  <cols>
    <col min="2" max="2" width="30.85546875" customWidth="1"/>
    <col min="3" max="4" width="11" customWidth="1"/>
    <col min="5" max="5" width="12" customWidth="1"/>
    <col min="6" max="6" width="12.42578125" customWidth="1"/>
    <col min="7" max="15" width="11" customWidth="1"/>
  </cols>
  <sheetData>
    <row r="3" spans="2:15" x14ac:dyDescent="0.25">
      <c r="C3" t="s">
        <v>234</v>
      </c>
    </row>
    <row r="4" spans="2:15" s="111" customFormat="1" ht="30" x14ac:dyDescent="0.25">
      <c r="B4" s="111" t="s">
        <v>236</v>
      </c>
      <c r="C4" s="111" t="s">
        <v>237</v>
      </c>
      <c r="D4" s="111" t="s">
        <v>238</v>
      </c>
      <c r="E4" s="111" t="s">
        <v>239</v>
      </c>
      <c r="F4" s="111" t="s">
        <v>240</v>
      </c>
      <c r="G4" s="111" t="s">
        <v>247</v>
      </c>
    </row>
    <row r="5" spans="2:15" x14ac:dyDescent="0.25">
      <c r="B5" t="str">
        <f>'Scenario List'!A3</f>
        <v>1- Preferred Resource Strategy</v>
      </c>
      <c r="C5" s="50">
        <f>'Summary Table'!C4</f>
        <v>4783.1210136077843</v>
      </c>
      <c r="D5" s="50">
        <f>NPV(Sensitivities!$B$1,Sensitivities!E5:E26)</f>
        <v>4775.6437345063459</v>
      </c>
      <c r="E5" s="50">
        <f>NPV(Sensitivities!B1,Sensitivities!AB5:AB26)</f>
        <v>4930.9009135084152</v>
      </c>
      <c r="F5" s="50">
        <f>NPV(Sensitivities!B1,Sensitivities!AY5:AY26)</f>
        <v>4583.3050099586944</v>
      </c>
      <c r="G5" s="50">
        <f>NPV(Sensitivities!B1,Sensitivities!BV5:BV26)</f>
        <v>4781.1755267009421</v>
      </c>
      <c r="J5" s="151"/>
      <c r="K5" s="151"/>
      <c r="L5" s="151"/>
      <c r="M5" s="151"/>
      <c r="N5" s="151"/>
      <c r="O5" s="151"/>
    </row>
    <row r="6" spans="2:15" x14ac:dyDescent="0.25">
      <c r="B6" t="str">
        <f>'Scenario List'!A5</f>
        <v>3- Baseline Portfolio</v>
      </c>
      <c r="C6" s="50">
        <f>'Summary Table'!C6</f>
        <v>4788.7513375827311</v>
      </c>
      <c r="D6" s="50">
        <f>NPV(Sensitivities!B1,Sensitivities!E62:E83)</f>
        <v>4770.8699669817743</v>
      </c>
      <c r="E6" s="50">
        <f>NPV(Sensitivities!B1,Sensitivities!AB62:AB83)</f>
        <v>4903.1731123243317</v>
      </c>
      <c r="F6" s="50">
        <f>NPV(Sensitivities!B1,Sensitivities!AY62:AY83)</f>
        <v>4591.5767407909498</v>
      </c>
      <c r="G6" s="50">
        <f>NPV(Sensitivities!B1,Sensitivities!BV62:BV83)</f>
        <v>4772.4344224810848</v>
      </c>
      <c r="J6" s="151"/>
      <c r="K6" s="151"/>
      <c r="L6" s="151"/>
      <c r="M6" s="151"/>
      <c r="N6" s="151"/>
      <c r="O6" s="151"/>
    </row>
    <row r="7" spans="2:15" x14ac:dyDescent="0.25">
      <c r="B7" t="str">
        <f>'Scenario List'!A17</f>
        <v>15- Clean Portfolio by 2045</v>
      </c>
      <c r="C7" s="50">
        <f>'Summary Table'!C18</f>
        <v>4902.4247782809198</v>
      </c>
      <c r="D7" s="50">
        <f>NPV(Sensitivities!$B$1,Sensitivities!E389:E410)</f>
        <v>4878.6443404615911</v>
      </c>
      <c r="E7" s="50">
        <f>NPV(Sensitivities!$B$1,Sensitivities!AB389:AB410)</f>
        <v>4991.946684913235</v>
      </c>
      <c r="F7" s="50">
        <f>NPV(Sensitivities!$B$1,Sensitivities!AY389:AY410)</f>
        <v>4710.7441363384696</v>
      </c>
      <c r="G7" s="50">
        <f>NPV(Sensitivities!$B$1,Sensitivities!BV389:BV410)</f>
        <v>4876.9352633258677</v>
      </c>
      <c r="J7" s="151"/>
      <c r="K7" s="151"/>
      <c r="L7" s="151"/>
      <c r="M7" s="151"/>
      <c r="N7" s="151"/>
      <c r="O7" s="151"/>
    </row>
    <row r="9" spans="2:15" ht="30.75" customHeight="1" x14ac:dyDescent="0.25">
      <c r="B9" s="159"/>
      <c r="C9" s="195" t="s">
        <v>241</v>
      </c>
      <c r="D9" s="195"/>
      <c r="E9" s="195"/>
    </row>
    <row r="10" spans="2:15" ht="27" x14ac:dyDescent="0.25">
      <c r="B10" s="159" t="s">
        <v>236</v>
      </c>
      <c r="C10" s="161" t="s">
        <v>239</v>
      </c>
      <c r="D10" s="161" t="s">
        <v>240</v>
      </c>
      <c r="E10" s="161" t="s">
        <v>261</v>
      </c>
      <c r="J10" s="111"/>
      <c r="K10" s="111"/>
    </row>
    <row r="11" spans="2:15" x14ac:dyDescent="0.25">
      <c r="B11" s="162" t="str">
        <f>B5</f>
        <v>1- Preferred Resource Strategy</v>
      </c>
      <c r="C11" s="163">
        <f>('ID Sensitivities'!E5-'ID Sensitivities'!$D5)/('ID Sensitivities'!$D5)</f>
        <v>3.2510209645719747E-2</v>
      </c>
      <c r="D11" s="163">
        <f>('ID Sensitivities'!F5-'ID Sensitivities'!$D5)/('ID Sensitivities'!$D5)</f>
        <v>-4.0274931556956557E-2</v>
      </c>
      <c r="E11" s="163">
        <f>('ID Sensitivities'!G5-'ID Sensitivities'!$D5)/('ID Sensitivities'!$D5)</f>
        <v>1.1583343528383991E-3</v>
      </c>
    </row>
    <row r="12" spans="2:15" x14ac:dyDescent="0.25">
      <c r="B12" s="162" t="str">
        <f t="shared" ref="B12:B13" si="0">B6</f>
        <v>3- Baseline Portfolio</v>
      </c>
      <c r="C12" s="163">
        <f>('ID Sensitivities'!E6-'ID Sensitivities'!$D6)/('ID Sensitivities'!$D6)</f>
        <v>2.7731450711966726E-2</v>
      </c>
      <c r="D12" s="163">
        <f>('ID Sensitivities'!F6-'ID Sensitivities'!$D6)/('ID Sensitivities'!$D6)</f>
        <v>-3.7580824342662161E-2</v>
      </c>
      <c r="E12" s="163">
        <f>('ID Sensitivities'!G6-'ID Sensitivities'!$D6)/('ID Sensitivities'!$D6)</f>
        <v>3.279182853730614E-4</v>
      </c>
    </row>
    <row r="13" spans="2:15" x14ac:dyDescent="0.25">
      <c r="B13" s="162" t="str">
        <f t="shared" si="0"/>
        <v>15- Clean Portfolio by 2045</v>
      </c>
      <c r="C13" s="163">
        <f>('ID Sensitivities'!E7-'ID Sensitivities'!$D7)/('ID Sensitivities'!$D7)</f>
        <v>2.3224145181471419E-2</v>
      </c>
      <c r="D13" s="163">
        <f>('ID Sensitivities'!F7-'ID Sensitivities'!$D7)/('ID Sensitivities'!$D7)</f>
        <v>-3.4415340083437135E-2</v>
      </c>
      <c r="E13" s="163">
        <f>('ID Sensitivities'!G7-'ID Sensitivities'!$D7)/('ID Sensitivities'!$D7)</f>
        <v>-3.503180425654302E-4</v>
      </c>
    </row>
    <row r="14" spans="2:15" x14ac:dyDescent="0.25">
      <c r="B14" s="165"/>
      <c r="C14" s="166"/>
      <c r="D14" s="166"/>
      <c r="E14" s="166"/>
    </row>
  </sheetData>
  <mergeCells count="1">
    <mergeCell ref="C9:E9"/>
  </mergeCells>
  <conditionalFormatting sqref="G11:I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:I1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E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E1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EF3B0-1433-49C0-A3C4-402F53C333FC}">
  <dimension ref="B3:O19"/>
  <sheetViews>
    <sheetView workbookViewId="0">
      <selection activeCell="I8" sqref="I8"/>
    </sheetView>
  </sheetViews>
  <sheetFormatPr defaultRowHeight="14.25" x14ac:dyDescent="0.2"/>
  <cols>
    <col min="1" max="1" width="9.140625" style="63"/>
    <col min="2" max="2" width="30.85546875" style="63" customWidth="1"/>
    <col min="3" max="4" width="11" style="63" customWidth="1"/>
    <col min="5" max="5" width="12.85546875" style="63" customWidth="1"/>
    <col min="6" max="6" width="8.42578125" style="63" bestFit="1" customWidth="1"/>
    <col min="7" max="8" width="11" style="63" customWidth="1"/>
    <col min="9" max="9" width="12.5703125" style="63" customWidth="1"/>
    <col min="10" max="15" width="11" style="63" customWidth="1"/>
    <col min="16" max="16384" width="9.140625" style="63"/>
  </cols>
  <sheetData>
    <row r="3" spans="2:15" x14ac:dyDescent="0.2">
      <c r="C3" s="63" t="s">
        <v>234</v>
      </c>
      <c r="J3" s="63" t="s">
        <v>235</v>
      </c>
    </row>
    <row r="4" spans="2:15" s="70" customFormat="1" ht="28.5" x14ac:dyDescent="0.2">
      <c r="B4" s="70" t="s">
        <v>236</v>
      </c>
      <c r="C4" s="70" t="s">
        <v>237</v>
      </c>
      <c r="D4" s="70" t="s">
        <v>238</v>
      </c>
      <c r="E4" s="70" t="s">
        <v>239</v>
      </c>
      <c r="F4" s="70" t="s">
        <v>240</v>
      </c>
      <c r="G4" s="70" t="s">
        <v>247</v>
      </c>
      <c r="J4" s="70" t="s">
        <v>237</v>
      </c>
      <c r="K4" s="70" t="s">
        <v>238</v>
      </c>
      <c r="L4" s="70" t="s">
        <v>239</v>
      </c>
      <c r="M4" s="70" t="s">
        <v>240</v>
      </c>
      <c r="N4" s="70" t="s">
        <v>247</v>
      </c>
    </row>
    <row r="5" spans="2:15" x14ac:dyDescent="0.2">
      <c r="B5" s="63" t="str">
        <f>'Scenario List'!A3</f>
        <v>1- Preferred Resource Strategy</v>
      </c>
      <c r="C5" s="86">
        <f>'Summary Table'!D4</f>
        <v>14995.662783760845</v>
      </c>
      <c r="D5" s="86">
        <f>NPV(Sensitivities!$B$1,Sensitivities!F5:F26)</f>
        <v>14974.632858021609</v>
      </c>
      <c r="E5" s="86">
        <f>NPV(Sensitivities!B1,Sensitivities!AC5:AC26)</f>
        <v>15250.761484171819</v>
      </c>
      <c r="F5" s="86">
        <f>NPV(Sensitivities!B1,Sensitivities!AZ5:AZ26)</f>
        <v>14508.791408053439</v>
      </c>
      <c r="G5" s="86">
        <f>NPV(Sensitivities!B1,Sensitivities!BW5:BW26)</f>
        <v>14963.267787524052</v>
      </c>
      <c r="J5" s="188">
        <f>'Annual Summaries'!B122</f>
        <v>31.257534012234956</v>
      </c>
      <c r="K5" s="188">
        <f>-PMT(0.025,22,NPV(0.025,Sensitivities!$Q$5:$Q$26))*22</f>
        <v>30.871742354621009</v>
      </c>
      <c r="L5" s="188">
        <f>-PMT(0.025,22,NPV(0.025,Sensitivities!AN5:AN26))*22</f>
        <v>27.588300088986124</v>
      </c>
      <c r="M5" s="188">
        <f>-PMT(0.025,22,NPV(0.025,Sensitivities!BK5:BK26))*22</f>
        <v>32.851911656352797</v>
      </c>
      <c r="N5" s="188">
        <f>-PMT(0.025,22,NPV(0.025,Sensitivities!CH5:CH26))*22</f>
        <v>28.002872719519893</v>
      </c>
      <c r="O5" s="188"/>
    </row>
    <row r="6" spans="2:15" x14ac:dyDescent="0.2">
      <c r="B6" s="63" t="str">
        <f>'Scenario List'!A5</f>
        <v>3- Baseline Portfolio</v>
      </c>
      <c r="C6" s="86">
        <f>'Summary Table'!D6</f>
        <v>14852.297476561391</v>
      </c>
      <c r="D6" s="86">
        <f>NPV(Sensitivities!B1,Sensitivities!F62:F83)</f>
        <v>14842.744501083012</v>
      </c>
      <c r="E6" s="86">
        <f>NPV(Sensitivities!B1,Sensitivities!AC62:AC83)</f>
        <v>15157.002801655142</v>
      </c>
      <c r="F6" s="86">
        <f>NPV(Sensitivities!B1,Sensitivities!AZ62:AZ83)</f>
        <v>14354.373910595308</v>
      </c>
      <c r="G6" s="86">
        <f>NPV(Sensitivities!B1,Sensitivities!BW62:BW83)</f>
        <v>14838.143142286524</v>
      </c>
      <c r="J6" s="188">
        <f>'Annual Summaries'!D122</f>
        <v>33.458267952643283</v>
      </c>
      <c r="K6" s="188">
        <f>-PMT(0.025,22,NPV(0.025,Sensitivities!Q62:Q83))*22</f>
        <v>32.73638933480936</v>
      </c>
      <c r="L6" s="188">
        <f>-PMT(0.025,22,NPV(0.025,Sensitivities!AN62:AN83))*22</f>
        <v>28.701447220099233</v>
      </c>
      <c r="M6" s="188">
        <f>-PMT(0.025,22,NPV(0.025,Sensitivities!BK62:BK83))*22</f>
        <v>35.081326363161175</v>
      </c>
      <c r="N6" s="188">
        <f>-PMT(0.025,22,NPV(0.025,Sensitivities!CH62:CH83))*22</f>
        <v>29.184897232736283</v>
      </c>
      <c r="O6" s="188"/>
    </row>
    <row r="7" spans="2:15" x14ac:dyDescent="0.2">
      <c r="B7" s="63" t="str">
        <f>'Scenario List'!A17</f>
        <v>15- Clean Portfolio by 2045</v>
      </c>
      <c r="C7" s="86">
        <f>'Summary Table'!D18</f>
        <v>15129.584403147717</v>
      </c>
      <c r="D7" s="86">
        <f>NPV(Sensitivities!$B$1,Sensitivities!F389:F410)</f>
        <v>15096.438306118553</v>
      </c>
      <c r="E7" s="86">
        <f>NPV(Sensitivities!$B$1,Sensitivities!AC389:AC410)</f>
        <v>15340.09196820553</v>
      </c>
      <c r="F7" s="86">
        <f>NPV(Sensitivities!$B$1,Sensitivities!AZ389:AZ410)</f>
        <v>14651.280152692027</v>
      </c>
      <c r="G7" s="86">
        <f>NPV(Sensitivities!$B$1,Sensitivities!BW389:BW410)</f>
        <v>15079.315926661298</v>
      </c>
      <c r="J7" s="188">
        <f>'Annual Summaries'!P122</f>
        <v>29.248871072133372</v>
      </c>
      <c r="K7" s="188">
        <f>-PMT(0.025,22,NPV(0.025,Sensitivities!Q389:Q410))*22</f>
        <v>29.152983261657461</v>
      </c>
      <c r="L7" s="188">
        <f>-PMT(0.025,22,NPV(0.025,Sensitivities!AN389:AN410))*22</f>
        <v>26.485769692084951</v>
      </c>
      <c r="M7" s="188">
        <f>-PMT(0.025,22,NPV(0.025,Sensitivities!BK389:BK410))*22</f>
        <v>30.825453267684317</v>
      </c>
      <c r="N7" s="188">
        <f>-PMT(0.025,22,NPV(0.025,Sensitivities!CH389:CH410))*22</f>
        <v>26.877854928100501</v>
      </c>
      <c r="O7" s="188"/>
    </row>
    <row r="8" spans="2:15" x14ac:dyDescent="0.2">
      <c r="B8" s="165" t="str">
        <f>'Scenario List'!$A$20</f>
        <v>18- National GHG Pricing</v>
      </c>
      <c r="C8" s="86"/>
      <c r="D8" s="86"/>
      <c r="E8" s="86"/>
      <c r="F8" s="86"/>
      <c r="G8" s="86">
        <f>NPV(Sensitivities!B1,Sensitivities!BW470:BW491)</f>
        <v>14950.711303135386</v>
      </c>
      <c r="H8" s="86">
        <f>G5-G8</f>
        <v>12.556484388665922</v>
      </c>
      <c r="I8" s="72">
        <f>H8/G5</f>
        <v>8.3915389117978376E-4</v>
      </c>
      <c r="J8" s="188"/>
      <c r="K8" s="188"/>
      <c r="L8" s="188"/>
      <c r="M8" s="188"/>
      <c r="N8" s="188">
        <f>-PMT(0.025,22,NPV(0.025,Sensitivities!$CH$470:$CH$491))*22</f>
        <v>27.818237840235476</v>
      </c>
      <c r="O8" s="188"/>
    </row>
    <row r="10" spans="2:15" ht="30.75" customHeight="1" x14ac:dyDescent="0.2">
      <c r="B10" s="159"/>
      <c r="C10" s="195" t="s">
        <v>263</v>
      </c>
      <c r="D10" s="195"/>
      <c r="E10" s="195"/>
      <c r="F10" s="160"/>
      <c r="G10" s="195" t="s">
        <v>264</v>
      </c>
      <c r="H10" s="195"/>
      <c r="I10" s="195"/>
    </row>
    <row r="11" spans="2:15" ht="27" x14ac:dyDescent="0.2">
      <c r="B11" s="159" t="s">
        <v>236</v>
      </c>
      <c r="C11" s="161" t="s">
        <v>239</v>
      </c>
      <c r="D11" s="161" t="s">
        <v>240</v>
      </c>
      <c r="E11" s="161" t="s">
        <v>261</v>
      </c>
      <c r="F11" s="161"/>
      <c r="G11" s="161" t="s">
        <v>239</v>
      </c>
      <c r="H11" s="161" t="s">
        <v>240</v>
      </c>
      <c r="I11" s="161" t="s">
        <v>261</v>
      </c>
      <c r="J11" s="70"/>
      <c r="K11" s="70"/>
    </row>
    <row r="12" spans="2:15" x14ac:dyDescent="0.2">
      <c r="B12" s="162" t="str">
        <f>B5</f>
        <v>1- Preferred Resource Strategy</v>
      </c>
      <c r="C12" s="163">
        <f t="shared" ref="C12:E14" si="0">(E5-$D5)/($D5)</f>
        <v>1.8439759342900583E-2</v>
      </c>
      <c r="D12" s="163">
        <f t="shared" si="0"/>
        <v>-3.1108705928548194E-2</v>
      </c>
      <c r="E12" s="163">
        <f t="shared" si="0"/>
        <v>-7.5895486756251656E-4</v>
      </c>
      <c r="F12" s="162"/>
      <c r="G12" s="164">
        <f t="shared" ref="G12:I14" si="1">(L5-$K5)/($K5)</f>
        <v>-0.10635753006481691</v>
      </c>
      <c r="H12" s="164">
        <f t="shared" si="1"/>
        <v>6.4141805764823909E-2</v>
      </c>
      <c r="I12" s="164">
        <f t="shared" si="1"/>
        <v>-9.2928659553667609E-2</v>
      </c>
    </row>
    <row r="13" spans="2:15" x14ac:dyDescent="0.2">
      <c r="B13" s="162" t="str">
        <f>B6</f>
        <v>3- Baseline Portfolio</v>
      </c>
      <c r="C13" s="163">
        <f t="shared" si="0"/>
        <v>2.1172519714881557E-2</v>
      </c>
      <c r="D13" s="163">
        <f t="shared" si="0"/>
        <v>-3.2902984380824576E-2</v>
      </c>
      <c r="E13" s="163">
        <f t="shared" si="0"/>
        <v>-3.100072763599963E-4</v>
      </c>
      <c r="F13" s="162"/>
      <c r="G13" s="164">
        <f t="shared" si="1"/>
        <v>-0.12325556350894445</v>
      </c>
      <c r="H13" s="164">
        <f t="shared" si="1"/>
        <v>7.1630899925129776E-2</v>
      </c>
      <c r="I13" s="164">
        <f t="shared" si="1"/>
        <v>-0.10848759359959997</v>
      </c>
    </row>
    <row r="14" spans="2:15" x14ac:dyDescent="0.2">
      <c r="B14" s="162" t="str">
        <f>B7</f>
        <v>15- Clean Portfolio by 2045</v>
      </c>
      <c r="C14" s="163">
        <f t="shared" si="0"/>
        <v>1.6139811069755781E-2</v>
      </c>
      <c r="D14" s="163">
        <f t="shared" si="0"/>
        <v>-2.9487627770194275E-2</v>
      </c>
      <c r="E14" s="163">
        <f t="shared" si="0"/>
        <v>-1.1341999424006272E-3</v>
      </c>
      <c r="F14" s="162"/>
      <c r="G14" s="164">
        <f t="shared" si="1"/>
        <v>-9.1490244604931339E-2</v>
      </c>
      <c r="H14" s="164">
        <f t="shared" si="1"/>
        <v>5.7368743055072488E-2</v>
      </c>
      <c r="I14" s="164">
        <f t="shared" si="1"/>
        <v>-7.8041012583067296E-2</v>
      </c>
    </row>
    <row r="15" spans="2:15" x14ac:dyDescent="0.2">
      <c r="B15" s="165"/>
      <c r="C15" s="166"/>
      <c r="D15" s="166"/>
      <c r="E15" s="166"/>
      <c r="F15" s="167"/>
      <c r="G15" s="166"/>
      <c r="H15" s="166"/>
      <c r="I15" s="168"/>
    </row>
    <row r="16" spans="2:15" ht="33" customHeight="1" x14ac:dyDescent="0.2">
      <c r="B16" s="159"/>
      <c r="C16" s="195" t="s">
        <v>242</v>
      </c>
      <c r="D16" s="195"/>
      <c r="E16" s="195"/>
      <c r="F16" s="160"/>
      <c r="G16" s="195" t="s">
        <v>243</v>
      </c>
      <c r="H16" s="195"/>
      <c r="I16" s="195"/>
    </row>
    <row r="17" spans="2:11" ht="27" x14ac:dyDescent="0.2">
      <c r="B17" s="159" t="s">
        <v>236</v>
      </c>
      <c r="C17" s="161" t="s">
        <v>239</v>
      </c>
      <c r="D17" s="161" t="s">
        <v>240</v>
      </c>
      <c r="E17" s="161" t="s">
        <v>261</v>
      </c>
      <c r="F17" s="161"/>
      <c r="G17" s="161" t="s">
        <v>239</v>
      </c>
      <c r="H17" s="161" t="s">
        <v>240</v>
      </c>
      <c r="I17" s="161" t="s">
        <v>261</v>
      </c>
    </row>
    <row r="18" spans="2:11" x14ac:dyDescent="0.2">
      <c r="B18" s="162" t="str">
        <f>B13</f>
        <v>3- Baseline Portfolio</v>
      </c>
      <c r="C18" s="163">
        <f t="shared" ref="C18:E19" si="2">(E6-E$5)/E$5</f>
        <v>-6.1478033483105014E-3</v>
      </c>
      <c r="D18" s="163">
        <f t="shared" si="2"/>
        <v>-1.0643029671818016E-2</v>
      </c>
      <c r="E18" s="163">
        <f t="shared" si="2"/>
        <v>-8.3621202944621845E-3</v>
      </c>
      <c r="F18" s="162"/>
      <c r="G18" s="164">
        <f t="shared" ref="G18:I19" si="3">(L6-L$5)/L$5</f>
        <v>4.0348521928594762E-2</v>
      </c>
      <c r="H18" s="164">
        <f t="shared" si="3"/>
        <v>6.7862556375079638E-2</v>
      </c>
      <c r="I18" s="164">
        <f t="shared" si="3"/>
        <v>4.221083047641893E-2</v>
      </c>
      <c r="J18" s="73"/>
      <c r="K18" s="73"/>
    </row>
    <row r="19" spans="2:11" x14ac:dyDescent="0.2">
      <c r="B19" s="162" t="str">
        <f>B14</f>
        <v>15- Clean Portfolio by 2045</v>
      </c>
      <c r="C19" s="163">
        <f t="shared" si="2"/>
        <v>5.8574441759137131E-3</v>
      </c>
      <c r="D19" s="163">
        <f t="shared" si="2"/>
        <v>9.8208555510347819E-3</v>
      </c>
      <c r="E19" s="163">
        <f t="shared" si="2"/>
        <v>7.755534471822023E-3</v>
      </c>
      <c r="F19" s="162"/>
      <c r="G19" s="164">
        <f t="shared" si="3"/>
        <v>-3.9963694513433547E-2</v>
      </c>
      <c r="H19" s="164">
        <f t="shared" si="3"/>
        <v>-6.1684641364747196E-2</v>
      </c>
      <c r="I19" s="164">
        <f t="shared" si="3"/>
        <v>-4.0175084988161899E-2</v>
      </c>
      <c r="J19" s="73"/>
      <c r="K19" s="73"/>
    </row>
  </sheetData>
  <mergeCells count="4">
    <mergeCell ref="C10:E10"/>
    <mergeCell ref="G10:I10"/>
    <mergeCell ref="C16:E16"/>
    <mergeCell ref="G16:I16"/>
  </mergeCells>
  <conditionalFormatting sqref="G18:I19 G12:I14 C12:E14 C18:E1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E19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I19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E1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2:I14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633"/>
  <sheetViews>
    <sheetView workbookViewId="0">
      <pane xSplit="3" ySplit="2" topLeftCell="H111" activePane="bottomRight" state="frozen"/>
      <selection pane="topRight" activeCell="C1" sqref="C1"/>
      <selection pane="bottomLeft" activeCell="A3" sqref="A3"/>
      <selection pane="bottomRight" activeCell="P138" sqref="P138"/>
    </sheetView>
  </sheetViews>
  <sheetFormatPr defaultRowHeight="12.75" x14ac:dyDescent="0.2"/>
  <cols>
    <col min="1" max="1" width="9.140625" style="6"/>
    <col min="2" max="2" width="41.140625" style="6" bestFit="1" customWidth="1"/>
    <col min="3" max="3" width="9.85546875" style="6" bestFit="1" customWidth="1"/>
    <col min="4" max="9" width="9.140625" style="8"/>
    <col min="10" max="11" width="9.140625" style="12"/>
    <col min="12" max="15" width="9.140625" style="8"/>
    <col min="16" max="17" width="9.140625" style="15"/>
    <col min="18" max="25" width="9.140625" style="8"/>
    <col min="26" max="16384" width="9.140625" style="6"/>
  </cols>
  <sheetData>
    <row r="1" spans="1:25" ht="44.25" customHeight="1" x14ac:dyDescent="0.2">
      <c r="B1" s="1">
        <v>6.5100000000000005E-2</v>
      </c>
      <c r="C1" s="1"/>
      <c r="D1" s="197" t="s">
        <v>3</v>
      </c>
      <c r="E1" s="197"/>
      <c r="F1" s="197"/>
      <c r="G1" s="197" t="s">
        <v>20</v>
      </c>
      <c r="H1" s="197"/>
      <c r="I1" s="197"/>
      <c r="J1" s="198" t="s">
        <v>5</v>
      </c>
      <c r="K1" s="198"/>
      <c r="L1" s="197" t="s">
        <v>21</v>
      </c>
      <c r="M1" s="197"/>
      <c r="N1" s="192" t="s">
        <v>22</v>
      </c>
      <c r="O1" s="192"/>
      <c r="P1" s="199" t="s">
        <v>23</v>
      </c>
      <c r="Q1" s="199"/>
      <c r="R1" s="192" t="s">
        <v>24</v>
      </c>
      <c r="S1" s="192"/>
      <c r="T1" s="192" t="s">
        <v>25</v>
      </c>
      <c r="U1" s="192"/>
      <c r="V1" s="192" t="s">
        <v>26</v>
      </c>
      <c r="W1" s="192"/>
      <c r="X1" s="192" t="s">
        <v>27</v>
      </c>
      <c r="Y1" s="192"/>
    </row>
    <row r="2" spans="1:25" x14ac:dyDescent="0.2">
      <c r="B2" s="5" t="s">
        <v>30</v>
      </c>
      <c r="C2" s="4" t="s">
        <v>0</v>
      </c>
      <c r="D2" s="9" t="s">
        <v>1</v>
      </c>
      <c r="E2" s="9" t="s">
        <v>2</v>
      </c>
      <c r="F2" s="9" t="s">
        <v>4</v>
      </c>
      <c r="G2" s="9" t="s">
        <v>1</v>
      </c>
      <c r="H2" s="9" t="s">
        <v>2</v>
      </c>
      <c r="I2" s="9" t="s">
        <v>4</v>
      </c>
      <c r="J2" s="11" t="s">
        <v>1</v>
      </c>
      <c r="K2" s="11" t="s">
        <v>2</v>
      </c>
      <c r="L2" s="9" t="s">
        <v>1</v>
      </c>
      <c r="M2" s="9" t="s">
        <v>2</v>
      </c>
      <c r="N2" s="9" t="s">
        <v>1</v>
      </c>
      <c r="O2" s="9" t="s">
        <v>2</v>
      </c>
      <c r="P2" s="13" t="s">
        <v>28</v>
      </c>
      <c r="Q2" s="13" t="s">
        <v>29</v>
      </c>
      <c r="R2" s="9" t="s">
        <v>1</v>
      </c>
      <c r="S2" s="9" t="s">
        <v>2</v>
      </c>
      <c r="T2" s="9" t="s">
        <v>1</v>
      </c>
      <c r="U2" s="9" t="s">
        <v>2</v>
      </c>
      <c r="V2" s="9" t="s">
        <v>1</v>
      </c>
      <c r="W2" s="9" t="s">
        <v>2</v>
      </c>
      <c r="X2" s="9" t="s">
        <v>1</v>
      </c>
      <c r="Y2" s="9" t="s">
        <v>2</v>
      </c>
    </row>
    <row r="3" spans="1:25" x14ac:dyDescent="0.2">
      <c r="C3" s="2"/>
      <c r="D3" s="10"/>
      <c r="E3" s="10"/>
      <c r="F3" s="10"/>
      <c r="G3" s="10"/>
      <c r="H3" s="10"/>
      <c r="I3" s="10"/>
      <c r="J3" s="57"/>
      <c r="K3" s="57"/>
      <c r="P3" s="14"/>
      <c r="V3" s="7"/>
    </row>
    <row r="4" spans="1:25" x14ac:dyDescent="0.2">
      <c r="A4" s="6" t="str">
        <f>B4&amp;"&amp;"&amp;C4</f>
        <v>1- Preferred Resource Strategy&amp;2023</v>
      </c>
      <c r="B4" s="6" t="str">
        <f>'Scenario List'!$A$3</f>
        <v>1- Preferred Resource Strategy</v>
      </c>
      <c r="C4" s="2">
        <v>2023</v>
      </c>
      <c r="D4" s="10">
        <v>644.35381508278806</v>
      </c>
      <c r="E4" s="10">
        <v>316.40239455462665</v>
      </c>
      <c r="F4" s="10">
        <v>960.75620963741471</v>
      </c>
      <c r="G4" s="10">
        <v>410.77378154877863</v>
      </c>
      <c r="H4" s="10">
        <v>125.83890972954545</v>
      </c>
      <c r="I4" s="10">
        <v>536.61269127832406</v>
      </c>
      <c r="J4" s="57">
        <v>0.11228217775301008</v>
      </c>
      <c r="K4" s="57">
        <v>0.10242299380892764</v>
      </c>
      <c r="L4" s="8">
        <v>16.808400861879495</v>
      </c>
      <c r="M4" s="8">
        <v>9.4395370395143168</v>
      </c>
      <c r="N4" s="8">
        <v>27.712544310744107</v>
      </c>
      <c r="O4" s="8">
        <v>15.74892153057101</v>
      </c>
      <c r="P4" s="14">
        <v>2.5071495936225858</v>
      </c>
      <c r="Q4" s="15">
        <v>2.8792050200375625</v>
      </c>
      <c r="R4" s="8">
        <v>0</v>
      </c>
      <c r="S4" s="8">
        <v>0</v>
      </c>
      <c r="T4" s="8">
        <v>0</v>
      </c>
      <c r="U4" s="8">
        <v>0</v>
      </c>
      <c r="V4" s="7">
        <v>0</v>
      </c>
      <c r="W4" s="8">
        <v>0</v>
      </c>
      <c r="X4" s="8">
        <v>5738.700726843661</v>
      </c>
      <c r="Y4" s="8">
        <v>3475.0272683816693</v>
      </c>
    </row>
    <row r="5" spans="1:25" x14ac:dyDescent="0.2">
      <c r="A5" s="6" t="str">
        <f t="shared" ref="A5:A68" si="0">B5&amp;"&amp;"&amp;C5</f>
        <v>1- Preferred Resource Strategy&amp;2024</v>
      </c>
      <c r="B5" s="6" t="str">
        <f>'Scenario List'!$A$3</f>
        <v>1- Preferred Resource Strategy</v>
      </c>
      <c r="C5" s="2">
        <v>2024</v>
      </c>
      <c r="D5" s="10">
        <v>657.51430162498752</v>
      </c>
      <c r="E5" s="10">
        <v>322.02778395152842</v>
      </c>
      <c r="F5" s="10">
        <v>979.542085576516</v>
      </c>
      <c r="G5" s="10">
        <v>417.64620468087497</v>
      </c>
      <c r="H5" s="10">
        <v>127.06130026484387</v>
      </c>
      <c r="I5" s="10">
        <v>544.70750494571882</v>
      </c>
      <c r="J5" s="57">
        <v>0.11356376331802349</v>
      </c>
      <c r="K5" s="57">
        <v>0.10392305090030773</v>
      </c>
      <c r="L5" s="8">
        <v>13.118296266483256</v>
      </c>
      <c r="M5" s="8">
        <v>7.2914270703604647</v>
      </c>
      <c r="N5" s="8">
        <v>22.189711054291905</v>
      </c>
      <c r="O5" s="8">
        <v>12.611182502166344</v>
      </c>
      <c r="P5" s="14">
        <v>2.4532169693564638</v>
      </c>
      <c r="Q5" s="15">
        <v>2.9672417086309277</v>
      </c>
      <c r="R5" s="8">
        <v>1.0380200044495842E-2</v>
      </c>
      <c r="S5" s="8">
        <v>0</v>
      </c>
      <c r="T5" s="8">
        <v>0.11416085097882279</v>
      </c>
      <c r="U5" s="8">
        <v>0</v>
      </c>
      <c r="V5" s="7">
        <v>0.97729443319812614</v>
      </c>
      <c r="W5" s="8">
        <v>0</v>
      </c>
      <c r="X5" s="8">
        <v>5789.824873834862</v>
      </c>
      <c r="Y5" s="8">
        <v>3486.4740129106776</v>
      </c>
    </row>
    <row r="6" spans="1:25" x14ac:dyDescent="0.2">
      <c r="A6" s="6" t="str">
        <f t="shared" si="0"/>
        <v>1- Preferred Resource Strategy&amp;2025</v>
      </c>
      <c r="B6" s="6" t="str">
        <f>'Scenario List'!$A$3</f>
        <v>1- Preferred Resource Strategy</v>
      </c>
      <c r="C6" s="2">
        <v>2025</v>
      </c>
      <c r="D6" s="10">
        <v>681.54533740636134</v>
      </c>
      <c r="E6" s="10">
        <v>329.72969720414318</v>
      </c>
      <c r="F6" s="10">
        <v>1011.2750346105045</v>
      </c>
      <c r="G6" s="10">
        <v>413.05736280193076</v>
      </c>
      <c r="H6" s="10">
        <v>127.22365407548794</v>
      </c>
      <c r="I6" s="10">
        <v>540.28101687741866</v>
      </c>
      <c r="J6" s="57">
        <v>0.11700757681961146</v>
      </c>
      <c r="K6" s="57">
        <v>0.10610308494819198</v>
      </c>
      <c r="L6" s="8">
        <v>10.311514288149155</v>
      </c>
      <c r="M6" s="8">
        <v>5.6563937497784096</v>
      </c>
      <c r="N6" s="8">
        <v>17.599896702247605</v>
      </c>
      <c r="O6" s="8">
        <v>9.6018397311251249</v>
      </c>
      <c r="P6" s="14">
        <v>2.2677043480366494</v>
      </c>
      <c r="Q6" s="15">
        <v>2.7196586755011132</v>
      </c>
      <c r="R6" s="8">
        <v>0.45467047553923573</v>
      </c>
      <c r="S6" s="8">
        <v>0</v>
      </c>
      <c r="T6" s="8">
        <v>0.5597595688873972</v>
      </c>
      <c r="U6" s="8">
        <v>0</v>
      </c>
      <c r="V6" s="7">
        <v>1.9714226177817513</v>
      </c>
      <c r="W6" s="8">
        <v>0</v>
      </c>
      <c r="X6" s="8">
        <v>5824.796615154999</v>
      </c>
      <c r="Y6" s="8">
        <v>3498.6912336044452</v>
      </c>
    </row>
    <row r="7" spans="1:25" x14ac:dyDescent="0.2">
      <c r="A7" s="6" t="str">
        <f t="shared" si="0"/>
        <v>1- Preferred Resource Strategy&amp;2026</v>
      </c>
      <c r="B7" s="6" t="str">
        <f>'Scenario List'!$A$3</f>
        <v>1- Preferred Resource Strategy</v>
      </c>
      <c r="C7" s="2">
        <v>2026</v>
      </c>
      <c r="D7" s="10">
        <v>690.74075559956827</v>
      </c>
      <c r="E7" s="10">
        <v>339.81368525530127</v>
      </c>
      <c r="F7" s="10">
        <v>1030.5544408548694</v>
      </c>
      <c r="G7" s="10">
        <v>311.9875637683005</v>
      </c>
      <c r="H7" s="10">
        <v>129.39951560273704</v>
      </c>
      <c r="I7" s="10">
        <v>441.38707937103754</v>
      </c>
      <c r="J7" s="57">
        <v>0.11922333229143015</v>
      </c>
      <c r="K7" s="57">
        <v>0.11026899263578525</v>
      </c>
      <c r="L7" s="8">
        <v>13.345170320937962</v>
      </c>
      <c r="M7" s="8">
        <v>7.2074019038641683</v>
      </c>
      <c r="N7" s="8">
        <v>23.111092296416217</v>
      </c>
      <c r="O7" s="8">
        <v>12.583249038356996</v>
      </c>
      <c r="P7" s="14">
        <v>1.3576647038056915</v>
      </c>
      <c r="Q7" s="15">
        <v>1.4922093815351607</v>
      </c>
      <c r="R7" s="8">
        <v>1.4307627098382865</v>
      </c>
      <c r="S7" s="8">
        <v>0</v>
      </c>
      <c r="T7" s="8">
        <v>1.5898481240728199</v>
      </c>
      <c r="U7" s="8">
        <v>0</v>
      </c>
      <c r="V7" s="7">
        <v>2.9826784510592139</v>
      </c>
      <c r="W7" s="8">
        <v>0</v>
      </c>
      <c r="X7" s="8">
        <v>5793.6709394358977</v>
      </c>
      <c r="Y7" s="8">
        <v>3474.0383743474008</v>
      </c>
    </row>
    <row r="8" spans="1:25" x14ac:dyDescent="0.2">
      <c r="A8" s="6" t="str">
        <f t="shared" si="0"/>
        <v>1- Preferred Resource Strategy&amp;2027</v>
      </c>
      <c r="B8" s="6" t="str">
        <f>'Scenario List'!$A$3</f>
        <v>1- Preferred Resource Strategy</v>
      </c>
      <c r="C8" s="2">
        <v>2027</v>
      </c>
      <c r="D8" s="10">
        <v>710.4530822144585</v>
      </c>
      <c r="E8" s="10">
        <v>344.01571471426701</v>
      </c>
      <c r="F8" s="10">
        <v>1054.4687969287256</v>
      </c>
      <c r="G8" s="10">
        <v>309.7763004447898</v>
      </c>
      <c r="H8" s="10">
        <v>125.30568960026918</v>
      </c>
      <c r="I8" s="10">
        <v>435.081990045059</v>
      </c>
      <c r="J8" s="57">
        <v>0.12181938165817542</v>
      </c>
      <c r="K8" s="57">
        <v>0.11085816184377968</v>
      </c>
      <c r="L8" s="8">
        <v>10.968969190008492</v>
      </c>
      <c r="M8" s="8">
        <v>6.0294448887761076</v>
      </c>
      <c r="N8" s="8">
        <v>16.114915315066241</v>
      </c>
      <c r="O8" s="8">
        <v>8.7681537640558531</v>
      </c>
      <c r="P8" s="14">
        <v>1.532226553384999</v>
      </c>
      <c r="Q8" s="15">
        <v>1.4329042999731518</v>
      </c>
      <c r="R8" s="8">
        <v>3.1283509710090627</v>
      </c>
      <c r="S8" s="8">
        <v>0</v>
      </c>
      <c r="T8" s="8">
        <v>3.3425748974627369</v>
      </c>
      <c r="U8" s="8">
        <v>0</v>
      </c>
      <c r="V8" s="7">
        <v>4.0266198386105838</v>
      </c>
      <c r="W8" s="8">
        <v>0</v>
      </c>
      <c r="X8" s="8">
        <v>5832.0200984764997</v>
      </c>
      <c r="Y8" s="8">
        <v>3494.4829570790039</v>
      </c>
    </row>
    <row r="9" spans="1:25" x14ac:dyDescent="0.2">
      <c r="A9" s="6" t="str">
        <f t="shared" si="0"/>
        <v>1- Preferred Resource Strategy&amp;2028</v>
      </c>
      <c r="B9" s="6" t="str">
        <f>'Scenario List'!$A$3</f>
        <v>1- Preferred Resource Strategy</v>
      </c>
      <c r="C9" s="2">
        <v>2028</v>
      </c>
      <c r="D9" s="10">
        <v>737.28306675060855</v>
      </c>
      <c r="E9" s="10">
        <v>352.77126358386579</v>
      </c>
      <c r="F9" s="10">
        <v>1090.0543303344743</v>
      </c>
      <c r="G9" s="10">
        <v>315.46061426308842</v>
      </c>
      <c r="H9" s="10">
        <v>125.42173633011231</v>
      </c>
      <c r="I9" s="10">
        <v>440.88235059320073</v>
      </c>
      <c r="J9" s="57">
        <v>0.12555491290508478</v>
      </c>
      <c r="K9" s="57">
        <v>0.112930258351195</v>
      </c>
      <c r="L9" s="8">
        <v>13.183889324320422</v>
      </c>
      <c r="M9" s="8">
        <v>7.2914743731763236</v>
      </c>
      <c r="N9" s="8">
        <v>25.281165423381623</v>
      </c>
      <c r="O9" s="8">
        <v>14.14435283295802</v>
      </c>
      <c r="P9" s="14">
        <v>1.5730832543333055</v>
      </c>
      <c r="Q9" s="15">
        <v>1.4184150619134281</v>
      </c>
      <c r="R9" s="8">
        <v>3.7086057963520278</v>
      </c>
      <c r="S9" s="8">
        <v>0</v>
      </c>
      <c r="T9" s="8">
        <v>3.9784722455760666</v>
      </c>
      <c r="U9" s="8">
        <v>0</v>
      </c>
      <c r="V9" s="7">
        <v>5.0761915758607499</v>
      </c>
      <c r="W9" s="8">
        <v>0</v>
      </c>
      <c r="X9" s="8">
        <v>5872.1960749394912</v>
      </c>
      <c r="Y9" s="8">
        <v>3513.3508606421024</v>
      </c>
    </row>
    <row r="10" spans="1:25" x14ac:dyDescent="0.2">
      <c r="A10" s="6" t="str">
        <f t="shared" si="0"/>
        <v>1- Preferred Resource Strategy&amp;2029</v>
      </c>
      <c r="B10" s="6" t="str">
        <f>'Scenario List'!$A$3</f>
        <v>1- Preferred Resource Strategy</v>
      </c>
      <c r="C10" s="2">
        <v>2029</v>
      </c>
      <c r="D10" s="10">
        <v>762.42702552223614</v>
      </c>
      <c r="E10" s="10">
        <v>363.62173600816277</v>
      </c>
      <c r="F10" s="10">
        <v>1126.0487615303989</v>
      </c>
      <c r="G10" s="10">
        <v>317.34305798899987</v>
      </c>
      <c r="H10" s="10">
        <v>127.27261684576925</v>
      </c>
      <c r="I10" s="10">
        <v>444.61567483476915</v>
      </c>
      <c r="J10" s="57">
        <v>0.12903773791849518</v>
      </c>
      <c r="K10" s="57">
        <v>0.11554502899447401</v>
      </c>
      <c r="L10" s="8">
        <v>14.733172104030094</v>
      </c>
      <c r="M10" s="8">
        <v>8.1956062223735699</v>
      </c>
      <c r="N10" s="8">
        <v>23.98732896148897</v>
      </c>
      <c r="O10" s="8">
        <v>13.40311092700648</v>
      </c>
      <c r="P10" s="14">
        <v>1.5569681058365383</v>
      </c>
      <c r="Q10" s="15">
        <v>1.3845054987276737</v>
      </c>
      <c r="R10" s="8">
        <v>3.8710158394504606</v>
      </c>
      <c r="S10" s="8">
        <v>0</v>
      </c>
      <c r="T10" s="8">
        <v>4.199077351103468</v>
      </c>
      <c r="U10" s="8">
        <v>0</v>
      </c>
      <c r="V10" s="7">
        <v>6.2330758716267924</v>
      </c>
      <c r="W10" s="8">
        <v>0</v>
      </c>
      <c r="X10" s="8">
        <v>5908.5585180035632</v>
      </c>
      <c r="Y10" s="8">
        <v>3534.4216080775113</v>
      </c>
    </row>
    <row r="11" spans="1:25" x14ac:dyDescent="0.2">
      <c r="A11" s="6" t="str">
        <f t="shared" si="0"/>
        <v>1- Preferred Resource Strategy&amp;2030</v>
      </c>
      <c r="B11" s="6" t="str">
        <f>'Scenario List'!$A$3</f>
        <v>1- Preferred Resource Strategy</v>
      </c>
      <c r="C11" s="2">
        <v>2030</v>
      </c>
      <c r="D11" s="10">
        <v>788.63083806091254</v>
      </c>
      <c r="E11" s="10">
        <v>375.05481195568547</v>
      </c>
      <c r="F11" s="10">
        <v>1163.6856500165979</v>
      </c>
      <c r="G11" s="10">
        <v>321.89358897414888</v>
      </c>
      <c r="H11" s="10">
        <v>129.58900411318194</v>
      </c>
      <c r="I11" s="10">
        <v>451.48259308733083</v>
      </c>
      <c r="J11" s="57">
        <v>0.13267359510523058</v>
      </c>
      <c r="K11" s="57">
        <v>0.1185973018302955</v>
      </c>
      <c r="L11" s="8">
        <v>12.483116796170508</v>
      </c>
      <c r="M11" s="8">
        <v>9.0434865139901799</v>
      </c>
      <c r="N11" s="8">
        <v>21.199673103773733</v>
      </c>
      <c r="O11" s="8">
        <v>16.412316749026573</v>
      </c>
      <c r="P11" s="14">
        <v>1.4533807708328605</v>
      </c>
      <c r="Q11" s="15">
        <v>1.4482233725931652</v>
      </c>
      <c r="R11" s="8">
        <v>18.1080688457055</v>
      </c>
      <c r="S11" s="8">
        <v>0</v>
      </c>
      <c r="T11" s="8">
        <v>27.228305936522638</v>
      </c>
      <c r="U11" s="8">
        <v>0</v>
      </c>
      <c r="V11" s="7">
        <v>666.52483931614165</v>
      </c>
      <c r="W11" s="8">
        <v>0</v>
      </c>
      <c r="X11" s="8">
        <v>5944.1431238477171</v>
      </c>
      <c r="Y11" s="8">
        <v>3553.6844433251467</v>
      </c>
    </row>
    <row r="12" spans="1:25" x14ac:dyDescent="0.2">
      <c r="A12" s="6" t="str">
        <f t="shared" si="0"/>
        <v>1- Preferred Resource Strategy&amp;2031</v>
      </c>
      <c r="B12" s="6" t="str">
        <f>'Scenario List'!$A$3</f>
        <v>1- Preferred Resource Strategy</v>
      </c>
      <c r="C12" s="2">
        <v>2031</v>
      </c>
      <c r="D12" s="10">
        <v>823.58036613404056</v>
      </c>
      <c r="E12" s="10">
        <v>389.24788586440877</v>
      </c>
      <c r="F12" s="10">
        <v>1212.8282519984493</v>
      </c>
      <c r="G12" s="10">
        <v>323.36939512965938</v>
      </c>
      <c r="H12" s="10">
        <v>134.17001802382424</v>
      </c>
      <c r="I12" s="10">
        <v>457.53941315348362</v>
      </c>
      <c r="J12" s="57">
        <v>0.13747378320789347</v>
      </c>
      <c r="K12" s="57">
        <v>0.12218286842382195</v>
      </c>
      <c r="L12" s="8">
        <v>11.208687677158498</v>
      </c>
      <c r="M12" s="8">
        <v>8.2750328842346494</v>
      </c>
      <c r="N12" s="8">
        <v>20.64987231590078</v>
      </c>
      <c r="O12" s="8">
        <v>14.311126025337956</v>
      </c>
      <c r="P12" s="14">
        <v>1.368200806092799</v>
      </c>
      <c r="Q12" s="15">
        <v>1.3178533229172604</v>
      </c>
      <c r="R12" s="8">
        <v>17.486043113795091</v>
      </c>
      <c r="S12" s="8">
        <v>0</v>
      </c>
      <c r="T12" s="8">
        <v>26.55855359846171</v>
      </c>
      <c r="U12" s="8">
        <v>0</v>
      </c>
      <c r="V12" s="7">
        <v>666.28914895642924</v>
      </c>
      <c r="W12" s="8">
        <v>0</v>
      </c>
      <c r="X12" s="8">
        <v>5990.8176447620472</v>
      </c>
      <c r="Y12" s="8">
        <v>3577.0113331509606</v>
      </c>
    </row>
    <row r="13" spans="1:25" x14ac:dyDescent="0.2">
      <c r="A13" s="6" t="str">
        <f t="shared" si="0"/>
        <v>1- Preferred Resource Strategy&amp;2032</v>
      </c>
      <c r="B13" s="6" t="str">
        <f>'Scenario List'!$A$3</f>
        <v>1- Preferred Resource Strategy</v>
      </c>
      <c r="C13" s="2">
        <v>2032</v>
      </c>
      <c r="D13" s="10">
        <v>858.36959163551273</v>
      </c>
      <c r="E13" s="10">
        <v>401.50884291483072</v>
      </c>
      <c r="F13" s="10">
        <v>1259.8784345503434</v>
      </c>
      <c r="G13" s="10">
        <v>329.78013110717512</v>
      </c>
      <c r="H13" s="10">
        <v>136.47575087606447</v>
      </c>
      <c r="I13" s="10">
        <v>466.25588198323959</v>
      </c>
      <c r="J13" s="57">
        <v>0.14206391377086489</v>
      </c>
      <c r="K13" s="57">
        <v>0.12512673130593563</v>
      </c>
      <c r="L13" s="8">
        <v>9.2941673784421965</v>
      </c>
      <c r="M13" s="8">
        <v>9.0098300696393849</v>
      </c>
      <c r="N13" s="8">
        <v>15.831022944033634</v>
      </c>
      <c r="O13" s="8">
        <v>17.756999752437409</v>
      </c>
      <c r="P13" s="14">
        <v>1.2287693671306394</v>
      </c>
      <c r="Q13" s="15">
        <v>1.2400831169937785</v>
      </c>
      <c r="R13" s="8">
        <v>67.066083623829897</v>
      </c>
      <c r="S13" s="8">
        <v>0</v>
      </c>
      <c r="T13" s="8">
        <v>65.063076658737089</v>
      </c>
      <c r="U13" s="8">
        <v>0</v>
      </c>
      <c r="V13" s="7">
        <v>1495.3176920500118</v>
      </c>
      <c r="W13" s="8">
        <v>0</v>
      </c>
      <c r="X13" s="8">
        <v>6042.1367316402284</v>
      </c>
      <c r="Y13" s="8">
        <v>3600.7603290491734</v>
      </c>
    </row>
    <row r="14" spans="1:25" x14ac:dyDescent="0.2">
      <c r="A14" s="6" t="str">
        <f t="shared" si="0"/>
        <v>1- Preferred Resource Strategy&amp;2033</v>
      </c>
      <c r="B14" s="6" t="str">
        <f>'Scenario List'!$A$3</f>
        <v>1- Preferred Resource Strategy</v>
      </c>
      <c r="C14" s="2">
        <v>2033</v>
      </c>
      <c r="D14" s="10">
        <v>885.38887709908681</v>
      </c>
      <c r="E14" s="10">
        <v>412.15644002968008</v>
      </c>
      <c r="F14" s="10">
        <v>1297.5453171287668</v>
      </c>
      <c r="G14" s="10">
        <v>330.52176428284218</v>
      </c>
      <c r="H14" s="10">
        <v>136.78766574769099</v>
      </c>
      <c r="I14" s="10">
        <v>467.30943003053318</v>
      </c>
      <c r="J14" s="57">
        <v>0.14541833158237807</v>
      </c>
      <c r="K14" s="57">
        <v>0.12735471556333114</v>
      </c>
      <c r="L14" s="8">
        <v>9.6067322448835952</v>
      </c>
      <c r="M14" s="8">
        <v>8.9359352093747049</v>
      </c>
      <c r="N14" s="8">
        <v>15.468372681192037</v>
      </c>
      <c r="O14" s="8">
        <v>15.97691783538194</v>
      </c>
      <c r="P14" s="14">
        <v>1.1338152358216591</v>
      </c>
      <c r="Q14" s="15">
        <v>1.2104176768359198</v>
      </c>
      <c r="R14" s="8">
        <v>66.218261433744161</v>
      </c>
      <c r="S14" s="8">
        <v>0</v>
      </c>
      <c r="T14" s="8">
        <v>64.312025776635593</v>
      </c>
      <c r="U14" s="8">
        <v>0</v>
      </c>
      <c r="V14" s="7">
        <v>1490.3457192427109</v>
      </c>
      <c r="W14" s="8">
        <v>0</v>
      </c>
      <c r="X14" s="8">
        <v>6088.5644021952112</v>
      </c>
      <c r="Y14" s="8">
        <v>3626.6975182318206</v>
      </c>
    </row>
    <row r="15" spans="1:25" x14ac:dyDescent="0.2">
      <c r="A15" s="6" t="str">
        <f t="shared" si="0"/>
        <v>1- Preferred Resource Strategy&amp;2034</v>
      </c>
      <c r="B15" s="6" t="str">
        <f>'Scenario List'!$A$3</f>
        <v>1- Preferred Resource Strategy</v>
      </c>
      <c r="C15" s="2">
        <v>2034</v>
      </c>
      <c r="D15" s="10">
        <v>897.47146292632749</v>
      </c>
      <c r="E15" s="10">
        <v>425.0686013532852</v>
      </c>
      <c r="F15" s="10">
        <v>1322.5400642796126</v>
      </c>
      <c r="G15" s="10">
        <v>315.93336879935998</v>
      </c>
      <c r="H15" s="10">
        <v>138.81296826227177</v>
      </c>
      <c r="I15" s="10">
        <v>454.74633706163172</v>
      </c>
      <c r="J15" s="57">
        <v>0.14617573486382199</v>
      </c>
      <c r="K15" s="57">
        <v>0.13022962090731169</v>
      </c>
      <c r="L15" s="8">
        <v>9.9159182923586826</v>
      </c>
      <c r="M15" s="8">
        <v>10.404246565095372</v>
      </c>
      <c r="N15" s="8">
        <v>17.543089703433267</v>
      </c>
      <c r="O15" s="8">
        <v>18.681852786836785</v>
      </c>
      <c r="P15" s="14">
        <v>1.3184791684216899</v>
      </c>
      <c r="Q15" s="15">
        <v>1.2890245903431194</v>
      </c>
      <c r="R15" s="8">
        <v>65.269646042239927</v>
      </c>
      <c r="S15" s="8">
        <v>88.620796747508805</v>
      </c>
      <c r="T15" s="8">
        <v>63.399634656680561</v>
      </c>
      <c r="U15" s="8">
        <v>83.593377839228708</v>
      </c>
      <c r="V15" s="7">
        <v>1487.8151878828664</v>
      </c>
      <c r="W15" s="8">
        <v>196.97172562859788</v>
      </c>
      <c r="X15" s="8">
        <v>6139.6747125124166</v>
      </c>
      <c r="Y15" s="8">
        <v>3653.4639178131342</v>
      </c>
    </row>
    <row r="16" spans="1:25" x14ac:dyDescent="0.2">
      <c r="A16" s="6" t="str">
        <f t="shared" si="0"/>
        <v>1- Preferred Resource Strategy&amp;2035</v>
      </c>
      <c r="B16" s="6" t="str">
        <f>'Scenario List'!$A$3</f>
        <v>1- Preferred Resource Strategy</v>
      </c>
      <c r="C16" s="2">
        <v>2035</v>
      </c>
      <c r="D16" s="10">
        <v>930.39333049735421</v>
      </c>
      <c r="E16" s="10">
        <v>440.6852339775092</v>
      </c>
      <c r="F16" s="10">
        <v>1371.0785644748635</v>
      </c>
      <c r="G16" s="10">
        <v>324.18585629108219</v>
      </c>
      <c r="H16" s="10">
        <v>143.3267828370027</v>
      </c>
      <c r="I16" s="10">
        <v>467.51263912808486</v>
      </c>
      <c r="J16" s="57">
        <v>0.15024310398534432</v>
      </c>
      <c r="K16" s="57">
        <v>0.13394272155201173</v>
      </c>
      <c r="L16" s="8">
        <v>10.995577828160291</v>
      </c>
      <c r="M16" s="8">
        <v>11.179773190918352</v>
      </c>
      <c r="N16" s="8">
        <v>18.412607524873863</v>
      </c>
      <c r="O16" s="8">
        <v>21.430518702136482</v>
      </c>
      <c r="P16" s="14">
        <v>1.3369651125824478</v>
      </c>
      <c r="Q16" s="15">
        <v>1.2947800387277948</v>
      </c>
      <c r="R16" s="8">
        <v>64.430985927120005</v>
      </c>
      <c r="S16" s="8">
        <v>88.620796747508805</v>
      </c>
      <c r="T16" s="8">
        <v>62.6032579909646</v>
      </c>
      <c r="U16" s="8">
        <v>83.593377839228708</v>
      </c>
      <c r="V16" s="7">
        <v>1498.6496367965149</v>
      </c>
      <c r="W16" s="8">
        <v>200.27988926245121</v>
      </c>
      <c r="X16" s="8">
        <v>6192.5859212021523</v>
      </c>
      <c r="Y16" s="8">
        <v>3681.4346982213524</v>
      </c>
    </row>
    <row r="17" spans="1:25" x14ac:dyDescent="0.2">
      <c r="A17" s="6" t="str">
        <f t="shared" si="0"/>
        <v>1- Preferred Resource Strategy&amp;2036</v>
      </c>
      <c r="B17" s="6" t="str">
        <f>'Scenario List'!$A$3</f>
        <v>1- Preferred Resource Strategy</v>
      </c>
      <c r="C17" s="2">
        <v>2036</v>
      </c>
      <c r="D17" s="10">
        <v>976.48842589826234</v>
      </c>
      <c r="E17" s="10">
        <v>454.80788776394752</v>
      </c>
      <c r="F17" s="10">
        <v>1431.2963136622097</v>
      </c>
      <c r="G17" s="10">
        <v>341.92557552479605</v>
      </c>
      <c r="H17" s="10">
        <v>145.88326321536223</v>
      </c>
      <c r="I17" s="10">
        <v>487.80883874015831</v>
      </c>
      <c r="J17" s="57">
        <v>0.15621879872099415</v>
      </c>
      <c r="K17" s="57">
        <v>0.13706602189248671</v>
      </c>
      <c r="L17" s="8">
        <v>11.64134193030859</v>
      </c>
      <c r="M17" s="8">
        <v>11.408883089947489</v>
      </c>
      <c r="N17" s="8">
        <v>21.058371368467192</v>
      </c>
      <c r="O17" s="8">
        <v>20.099901508501773</v>
      </c>
      <c r="P17" s="14">
        <v>1.3425141300884256</v>
      </c>
      <c r="Q17" s="15">
        <v>1.2733590404643409</v>
      </c>
      <c r="R17" s="8">
        <v>150.24114729394475</v>
      </c>
      <c r="S17" s="8">
        <v>88.620796747508805</v>
      </c>
      <c r="T17" s="8">
        <v>143.54383602212107</v>
      </c>
      <c r="U17" s="8">
        <v>83.607113956464431</v>
      </c>
      <c r="V17" s="7">
        <v>1504.199404705457</v>
      </c>
      <c r="W17" s="8">
        <v>206.1670193740319</v>
      </c>
      <c r="X17" s="8">
        <v>6250.7741314940267</v>
      </c>
      <c r="Y17" s="8">
        <v>3710.3811123399173</v>
      </c>
    </row>
    <row r="18" spans="1:25" x14ac:dyDescent="0.2">
      <c r="A18" s="6" t="str">
        <f t="shared" si="0"/>
        <v>1- Preferred Resource Strategy&amp;2037</v>
      </c>
      <c r="B18" s="6" t="str">
        <f>'Scenario List'!$A$3</f>
        <v>1- Preferred Resource Strategy</v>
      </c>
      <c r="C18" s="2">
        <v>2037</v>
      </c>
      <c r="D18" s="10">
        <v>1010.5173385551569</v>
      </c>
      <c r="E18" s="10">
        <v>470.77474717504219</v>
      </c>
      <c r="F18" s="10">
        <v>1481.2920857301992</v>
      </c>
      <c r="G18" s="10">
        <v>348.40175663968233</v>
      </c>
      <c r="H18" s="10">
        <v>149.77465392620832</v>
      </c>
      <c r="I18" s="10">
        <v>498.17641056589065</v>
      </c>
      <c r="J18" s="57">
        <v>0.1602721261670986</v>
      </c>
      <c r="K18" s="57">
        <v>0.14053070023927886</v>
      </c>
      <c r="L18" s="8">
        <v>12.796808873409599</v>
      </c>
      <c r="M18" s="8">
        <v>12.375472949194</v>
      </c>
      <c r="N18" s="8">
        <v>21.981851172972512</v>
      </c>
      <c r="O18" s="8">
        <v>21.781536513794023</v>
      </c>
      <c r="P18" s="14">
        <v>1.349230910562329</v>
      </c>
      <c r="Q18" s="15">
        <v>1.242084117458542</v>
      </c>
      <c r="R18" s="8">
        <v>149.38842951243996</v>
      </c>
      <c r="S18" s="8">
        <v>88.620796747508805</v>
      </c>
      <c r="T18" s="8">
        <v>142.72519225244363</v>
      </c>
      <c r="U18" s="8">
        <v>83.593377839228708</v>
      </c>
      <c r="V18" s="7">
        <v>1506.7669329421055</v>
      </c>
      <c r="W18" s="8">
        <v>198.11536792501238</v>
      </c>
      <c r="X18" s="8">
        <v>6305.0098773981363</v>
      </c>
      <c r="Y18" s="8">
        <v>3741.6898918906923</v>
      </c>
    </row>
    <row r="19" spans="1:25" x14ac:dyDescent="0.2">
      <c r="A19" s="6" t="str">
        <f t="shared" si="0"/>
        <v>1- Preferred Resource Strategy&amp;2038</v>
      </c>
      <c r="B19" s="6" t="str">
        <f>'Scenario List'!$A$3</f>
        <v>1- Preferred Resource Strategy</v>
      </c>
      <c r="C19" s="2">
        <v>2038</v>
      </c>
      <c r="D19" s="10">
        <v>1043.7055451682263</v>
      </c>
      <c r="E19" s="10">
        <v>485.67009423941192</v>
      </c>
      <c r="F19" s="10">
        <v>1529.3756394076381</v>
      </c>
      <c r="G19" s="10">
        <v>349.70328150849843</v>
      </c>
      <c r="H19" s="10">
        <v>152.13979148933851</v>
      </c>
      <c r="I19" s="10">
        <v>501.84307299783694</v>
      </c>
      <c r="J19" s="57">
        <v>0.16397259993059077</v>
      </c>
      <c r="K19" s="57">
        <v>0.14355419284469745</v>
      </c>
      <c r="L19" s="8">
        <v>14.859464428089046</v>
      </c>
      <c r="M19" s="8">
        <v>14.34260391920516</v>
      </c>
      <c r="N19" s="8">
        <v>26.801046320717873</v>
      </c>
      <c r="O19" s="8">
        <v>26.223917585307348</v>
      </c>
      <c r="P19" s="14">
        <v>1.3331268530863398</v>
      </c>
      <c r="Q19" s="15">
        <v>1.1923385161735403</v>
      </c>
      <c r="R19" s="8">
        <v>148.68559866500141</v>
      </c>
      <c r="S19" s="8">
        <v>88.620796747508805</v>
      </c>
      <c r="T19" s="8">
        <v>142.04537277033401</v>
      </c>
      <c r="U19" s="8">
        <v>83.593377839228708</v>
      </c>
      <c r="V19" s="7">
        <v>1503.1935660916554</v>
      </c>
      <c r="W19" s="8">
        <v>199.12575711813571</v>
      </c>
      <c r="X19" s="8">
        <v>6365.1216459946636</v>
      </c>
      <c r="Y19" s="8">
        <v>3774.353803650557</v>
      </c>
    </row>
    <row r="20" spans="1:25" x14ac:dyDescent="0.2">
      <c r="A20" s="6" t="str">
        <f t="shared" si="0"/>
        <v>1- Preferred Resource Strategy&amp;2039</v>
      </c>
      <c r="B20" s="6" t="str">
        <f>'Scenario List'!$A$3</f>
        <v>1- Preferred Resource Strategy</v>
      </c>
      <c r="C20" s="2">
        <v>2039</v>
      </c>
      <c r="D20" s="10">
        <v>1102.2015646858899</v>
      </c>
      <c r="E20" s="10">
        <v>507.72765939892008</v>
      </c>
      <c r="F20" s="10">
        <v>1609.9292240848099</v>
      </c>
      <c r="G20" s="10">
        <v>378.72321311426907</v>
      </c>
      <c r="H20" s="10">
        <v>161.24341262631069</v>
      </c>
      <c r="I20" s="10">
        <v>539.96662574057973</v>
      </c>
      <c r="J20" s="57">
        <v>0.17145637979281012</v>
      </c>
      <c r="K20" s="57">
        <v>0.14859228049469481</v>
      </c>
      <c r="L20" s="8">
        <v>14.043831920904815</v>
      </c>
      <c r="M20" s="8">
        <v>14.185447948192561</v>
      </c>
      <c r="N20" s="8">
        <v>24.965574952469041</v>
      </c>
      <c r="O20" s="8">
        <v>25.766444807511419</v>
      </c>
      <c r="P20" s="14">
        <v>1.4154906638277258</v>
      </c>
      <c r="Q20" s="15">
        <v>1.1781447849272475</v>
      </c>
      <c r="R20" s="8">
        <v>198.96240969022909</v>
      </c>
      <c r="S20" s="8">
        <v>88.620796747508805</v>
      </c>
      <c r="T20" s="8">
        <v>192.35942544825997</v>
      </c>
      <c r="U20" s="8">
        <v>83.593377839228708</v>
      </c>
      <c r="V20" s="7">
        <v>1245.2543009941105</v>
      </c>
      <c r="W20" s="8">
        <v>197.91674371536891</v>
      </c>
      <c r="X20" s="8">
        <v>6428.4663307239025</v>
      </c>
      <c r="Y20" s="8">
        <v>3808.6604994833697</v>
      </c>
    </row>
    <row r="21" spans="1:25" x14ac:dyDescent="0.2">
      <c r="A21" s="6" t="str">
        <f t="shared" si="0"/>
        <v>1- Preferred Resource Strategy&amp;2040</v>
      </c>
      <c r="B21" s="6" t="str">
        <f>'Scenario List'!$A$3</f>
        <v>1- Preferred Resource Strategy</v>
      </c>
      <c r="C21" s="2">
        <v>2040</v>
      </c>
      <c r="D21" s="10">
        <v>1132.6063521572923</v>
      </c>
      <c r="E21" s="10">
        <v>521.93128621724168</v>
      </c>
      <c r="F21" s="10">
        <v>1654.537638374534</v>
      </c>
      <c r="G21" s="10">
        <v>378.57761027903217</v>
      </c>
      <c r="H21" s="10">
        <v>162.02627840608312</v>
      </c>
      <c r="I21" s="10">
        <v>540.60388868511529</v>
      </c>
      <c r="J21" s="57">
        <v>0.17427726239777466</v>
      </c>
      <c r="K21" s="57">
        <v>0.1512053284219628</v>
      </c>
      <c r="L21" s="8">
        <v>15.908705406031759</v>
      </c>
      <c r="M21" s="8">
        <v>15.770914201512612</v>
      </c>
      <c r="N21" s="8">
        <v>29.579182522377536</v>
      </c>
      <c r="O21" s="8">
        <v>32.405477326343657</v>
      </c>
      <c r="P21" s="14">
        <v>1.447569959326596</v>
      </c>
      <c r="Q21" s="15">
        <v>1.1629876156427053</v>
      </c>
      <c r="R21" s="8">
        <v>198.16739340005637</v>
      </c>
      <c r="S21" s="8">
        <v>88.620796747508805</v>
      </c>
      <c r="T21" s="8">
        <v>191.61008213238773</v>
      </c>
      <c r="U21" s="8">
        <v>83.607113956464431</v>
      </c>
      <c r="V21" s="7">
        <v>1242.4808485264502</v>
      </c>
      <c r="W21" s="8">
        <v>205.37816481290022</v>
      </c>
      <c r="X21" s="8">
        <v>6498.8761963233283</v>
      </c>
      <c r="Y21" s="8">
        <v>3844.8727782553551</v>
      </c>
    </row>
    <row r="22" spans="1:25" x14ac:dyDescent="0.2">
      <c r="A22" s="6" t="str">
        <f t="shared" si="0"/>
        <v>1- Preferred Resource Strategy&amp;2041</v>
      </c>
      <c r="B22" s="6" t="str">
        <f>'Scenario List'!$A$3</f>
        <v>1- Preferred Resource Strategy</v>
      </c>
      <c r="C22" s="2">
        <v>2041</v>
      </c>
      <c r="D22" s="10">
        <v>1180.0569700379704</v>
      </c>
      <c r="E22" s="10">
        <v>532.3721104009868</v>
      </c>
      <c r="F22" s="10">
        <v>1712.429080438957</v>
      </c>
      <c r="G22" s="10">
        <v>389.73168727348116</v>
      </c>
      <c r="H22" s="10">
        <v>158.59564130846675</v>
      </c>
      <c r="I22" s="10">
        <v>548.32732858194788</v>
      </c>
      <c r="J22" s="57">
        <v>0.17969159137707019</v>
      </c>
      <c r="K22" s="57">
        <v>0.15244770941997274</v>
      </c>
      <c r="L22" s="8">
        <v>14.424020870996628</v>
      </c>
      <c r="M22" s="8">
        <v>15.71105551915694</v>
      </c>
      <c r="N22" s="8">
        <v>22.394577298931409</v>
      </c>
      <c r="O22" s="8">
        <v>28.102754615646631</v>
      </c>
      <c r="P22" s="14">
        <v>1.2663679280858851</v>
      </c>
      <c r="Q22" s="15">
        <v>1.1720393179900248</v>
      </c>
      <c r="R22" s="8">
        <v>292.06203139183754</v>
      </c>
      <c r="S22" s="8">
        <v>133.8398530475088</v>
      </c>
      <c r="T22" s="8">
        <v>282.75397251968269</v>
      </c>
      <c r="U22" s="8">
        <v>128.81243413922869</v>
      </c>
      <c r="V22" s="7">
        <v>1637.3113765844621</v>
      </c>
      <c r="W22" s="8">
        <v>319.21255538726552</v>
      </c>
      <c r="X22" s="8">
        <v>6567.1240428924893</v>
      </c>
      <c r="Y22" s="8">
        <v>3884.1001915663046</v>
      </c>
    </row>
    <row r="23" spans="1:25" x14ac:dyDescent="0.2">
      <c r="A23" s="6" t="str">
        <f t="shared" si="0"/>
        <v>1- Preferred Resource Strategy&amp;2042</v>
      </c>
      <c r="B23" s="6" t="str">
        <f>'Scenario List'!$A$3</f>
        <v>1- Preferred Resource Strategy</v>
      </c>
      <c r="C23" s="2">
        <v>2042</v>
      </c>
      <c r="D23" s="10">
        <v>1274.6454815950792</v>
      </c>
      <c r="E23" s="10">
        <v>566.38347892630543</v>
      </c>
      <c r="F23" s="10">
        <v>1841.0289605213848</v>
      </c>
      <c r="G23" s="10">
        <v>405.49650520305988</v>
      </c>
      <c r="H23" s="10">
        <v>177.99544593824464</v>
      </c>
      <c r="I23" s="10">
        <v>583.49195114130453</v>
      </c>
      <c r="J23" s="57">
        <v>0.19186011274628614</v>
      </c>
      <c r="K23" s="57">
        <v>0.1602639870528251</v>
      </c>
      <c r="L23" s="8">
        <v>17.014941343628053</v>
      </c>
      <c r="M23" s="8">
        <v>21.27024207558863</v>
      </c>
      <c r="N23" s="8">
        <v>29.121411884526523</v>
      </c>
      <c r="O23" s="8">
        <v>41.041701009363891</v>
      </c>
      <c r="P23" s="14">
        <v>0.9610798441018259</v>
      </c>
      <c r="Q23" s="15">
        <v>0.92697309222675539</v>
      </c>
      <c r="R23" s="8">
        <v>482.20883252213736</v>
      </c>
      <c r="S23" s="8">
        <v>233.70989008188457</v>
      </c>
      <c r="T23" s="8">
        <v>464.59596904390281</v>
      </c>
      <c r="U23" s="8">
        <v>223.01688780057557</v>
      </c>
      <c r="V23" s="7">
        <v>1967.7787264381304</v>
      </c>
      <c r="W23" s="8">
        <v>555.5521584087752</v>
      </c>
      <c r="X23" s="8">
        <v>6643.6189541942849</v>
      </c>
      <c r="Y23" s="8">
        <v>3925.6346422238694</v>
      </c>
    </row>
    <row r="24" spans="1:25" x14ac:dyDescent="0.2">
      <c r="A24" s="6" t="str">
        <f t="shared" si="0"/>
        <v>1- Preferred Resource Strategy&amp;2043</v>
      </c>
      <c r="B24" s="6" t="str">
        <f>'Scenario List'!$A$3</f>
        <v>1- Preferred Resource Strategy</v>
      </c>
      <c r="C24" s="2">
        <v>2043</v>
      </c>
      <c r="D24" s="10">
        <v>1339.4792530470138</v>
      </c>
      <c r="E24" s="10">
        <v>595.00154747974307</v>
      </c>
      <c r="F24" s="10">
        <v>1934.4808005267569</v>
      </c>
      <c r="G24" s="10">
        <v>437.7323409588667</v>
      </c>
      <c r="H24" s="10">
        <v>191.64277905337406</v>
      </c>
      <c r="I24" s="10">
        <v>629.37512001224081</v>
      </c>
      <c r="J24" s="57">
        <v>0.19915516016697149</v>
      </c>
      <c r="K24" s="57">
        <v>0.1662796637358071</v>
      </c>
      <c r="L24" s="8">
        <v>18.53068190870874</v>
      </c>
      <c r="M24" s="8">
        <v>21.263819943886155</v>
      </c>
      <c r="N24" s="8">
        <v>33.783447623540056</v>
      </c>
      <c r="O24" s="8">
        <v>42.021638951105942</v>
      </c>
      <c r="P24" s="14">
        <v>1.0479588719049857</v>
      </c>
      <c r="Q24" s="15">
        <v>0.9315890626978065</v>
      </c>
      <c r="R24" s="8">
        <v>523.90602427057024</v>
      </c>
      <c r="S24" s="8">
        <v>257.32328173556937</v>
      </c>
      <c r="T24" s="8">
        <v>506.27268762368726</v>
      </c>
      <c r="U24" s="8">
        <v>246.63027945426043</v>
      </c>
      <c r="V24" s="7">
        <v>1790.1749000212865</v>
      </c>
      <c r="W24" s="8">
        <v>439.88844426597842</v>
      </c>
      <c r="X24" s="8">
        <v>6725.8074153037041</v>
      </c>
      <c r="Y24" s="8">
        <v>3969.9415138161808</v>
      </c>
    </row>
    <row r="25" spans="1:25" x14ac:dyDescent="0.2">
      <c r="A25" s="6" t="str">
        <f t="shared" si="0"/>
        <v>1- Preferred Resource Strategy&amp;2044</v>
      </c>
      <c r="B25" s="6" t="str">
        <f>'Scenario List'!$A$3</f>
        <v>1- Preferred Resource Strategy</v>
      </c>
      <c r="C25" s="2">
        <v>2044</v>
      </c>
      <c r="D25" s="10">
        <v>1404.9488297794392</v>
      </c>
      <c r="E25" s="10">
        <v>622.02009272821192</v>
      </c>
      <c r="F25" s="10">
        <v>2026.9689225076511</v>
      </c>
      <c r="G25" s="10">
        <v>474.42796780433827</v>
      </c>
      <c r="H25" s="10">
        <v>203.04144401066952</v>
      </c>
      <c r="I25" s="10">
        <v>677.46941181500779</v>
      </c>
      <c r="J25" s="57">
        <v>0.20606569710420519</v>
      </c>
      <c r="K25" s="57">
        <v>0.17159350599402406</v>
      </c>
      <c r="L25" s="8">
        <v>19.773406597152928</v>
      </c>
      <c r="M25" s="8">
        <v>25.406449286494393</v>
      </c>
      <c r="N25" s="8">
        <v>35.510936113492249</v>
      </c>
      <c r="O25" s="8">
        <v>45.199532366214925</v>
      </c>
      <c r="P25" s="14">
        <v>1.1373750878919988</v>
      </c>
      <c r="Q25" s="15">
        <v>1.0284276675298369</v>
      </c>
      <c r="R25" s="8">
        <v>560.56558361400391</v>
      </c>
      <c r="S25" s="8">
        <v>274.7963386316863</v>
      </c>
      <c r="T25" s="8">
        <v>546.65063525854077</v>
      </c>
      <c r="U25" s="8">
        <v>264.13255220360497</v>
      </c>
      <c r="V25" s="7">
        <v>2049.8734335655222</v>
      </c>
      <c r="W25" s="8">
        <v>432.93291329430627</v>
      </c>
      <c r="X25" s="8">
        <v>6817.9655785648383</v>
      </c>
      <c r="Y25" s="8">
        <v>4017.9528484043276</v>
      </c>
    </row>
    <row r="26" spans="1:25" x14ac:dyDescent="0.2">
      <c r="A26" s="6" t="str">
        <f t="shared" si="0"/>
        <v>1- Preferred Resource Strategy&amp;2045</v>
      </c>
      <c r="B26" s="6" t="str">
        <f>'Scenario List'!$A$3</f>
        <v>1- Preferred Resource Strategy</v>
      </c>
      <c r="C26" s="2">
        <v>2045</v>
      </c>
      <c r="D26" s="10">
        <v>1617.3799134045134</v>
      </c>
      <c r="E26" s="10">
        <v>679.08842214692368</v>
      </c>
      <c r="F26" s="10">
        <v>2296.4683355514371</v>
      </c>
      <c r="G26" s="10">
        <v>558.99648886844057</v>
      </c>
      <c r="H26" s="10">
        <v>243.66413170689955</v>
      </c>
      <c r="I26" s="10">
        <v>802.66062057534009</v>
      </c>
      <c r="J26" s="57">
        <v>0.23402456426830173</v>
      </c>
      <c r="K26" s="57">
        <v>0.18460326731151203</v>
      </c>
      <c r="L26" s="8">
        <v>20.801916909841097</v>
      </c>
      <c r="M26" s="8">
        <v>23.547521006811568</v>
      </c>
      <c r="N26" s="8">
        <v>37.808479856547791</v>
      </c>
      <c r="O26" s="8">
        <v>44.397763042185261</v>
      </c>
      <c r="P26" s="14">
        <v>0.67838922374037702</v>
      </c>
      <c r="Q26" s="15">
        <v>0.56058855046191713</v>
      </c>
      <c r="R26" s="8">
        <v>913.33107289680345</v>
      </c>
      <c r="S26" s="8">
        <v>342.64704152427845</v>
      </c>
      <c r="T26" s="8">
        <v>887.16199476136762</v>
      </c>
      <c r="U26" s="8">
        <v>331.95403924296954</v>
      </c>
      <c r="V26" s="7">
        <v>2914.1318387219962</v>
      </c>
      <c r="W26" s="8">
        <v>579.85842458003742</v>
      </c>
      <c r="X26" s="8">
        <v>6911.1544698796606</v>
      </c>
      <c r="Y26" s="8">
        <v>4070.4274226173325</v>
      </c>
    </row>
    <row r="27" spans="1:25" s="5" customFormat="1" x14ac:dyDescent="0.2">
      <c r="A27" s="6" t="str">
        <f t="shared" si="0"/>
        <v>1- Preferred Resource Strategy&amp;NPV</v>
      </c>
      <c r="B27" s="6" t="str">
        <f>'Scenario List'!$A$3</f>
        <v>1- Preferred Resource Strategy</v>
      </c>
      <c r="C27" s="3" t="s">
        <v>6</v>
      </c>
      <c r="D27" s="16">
        <f>NPV($B$1,D3:D26)</f>
        <v>10193.311036743828</v>
      </c>
      <c r="E27" s="16">
        <f t="shared" ref="E27:I27" si="1">NPV($B$1,E3:E26)</f>
        <v>4787.8353282906864</v>
      </c>
      <c r="F27" s="16">
        <f>NPV($B$1,F3:F26)</f>
        <v>14981.146365034518</v>
      </c>
      <c r="G27" s="16">
        <f t="shared" si="1"/>
        <v>4247.4177971012487</v>
      </c>
      <c r="H27" s="16">
        <f t="shared" si="1"/>
        <v>1656.9667991078049</v>
      </c>
      <c r="I27" s="16">
        <f t="shared" si="1"/>
        <v>5904.3845962090545</v>
      </c>
      <c r="J27" s="17"/>
      <c r="K27" s="17"/>
      <c r="L27" s="52">
        <f t="shared" ref="L27:Q27" si="2">NPV($B$1,L3:L26)</f>
        <v>154.92174995573021</v>
      </c>
      <c r="M27" s="52">
        <f t="shared" si="2"/>
        <v>122.41200946842295</v>
      </c>
      <c r="N27" s="52">
        <f t="shared" si="2"/>
        <v>266.38819799980291</v>
      </c>
      <c r="O27" s="52">
        <f t="shared" si="2"/>
        <v>220.52865246103082</v>
      </c>
      <c r="P27" s="52">
        <f t="shared" si="2"/>
        <v>18.616604220335432</v>
      </c>
      <c r="Q27" s="52">
        <f t="shared" si="2"/>
        <v>19.170455554083102</v>
      </c>
      <c r="R27" s="16"/>
      <c r="S27" s="16"/>
      <c r="T27" s="16"/>
      <c r="U27" s="16"/>
      <c r="V27" s="16"/>
      <c r="W27" s="16"/>
      <c r="X27" s="52">
        <f>-PMT($B$1,22,NPV($B$1,X5:X26))</f>
        <v>6096.5834335342006</v>
      </c>
      <c r="Y27" s="52">
        <f>-PMT($B$1,22,NPV($B$1,Y5:Y26))</f>
        <v>3634.9992377785752</v>
      </c>
    </row>
    <row r="28" spans="1:25" s="5" customFormat="1" x14ac:dyDescent="0.2">
      <c r="A28" s="6" t="str">
        <f t="shared" si="0"/>
        <v>1- Preferred Resource Strategy&amp;Levelized</v>
      </c>
      <c r="B28" s="6" t="str">
        <f>'Scenario List'!$A$3</f>
        <v>1- Preferred Resource Strategy</v>
      </c>
      <c r="C28" s="3" t="s">
        <v>7</v>
      </c>
      <c r="D28" s="16">
        <f t="shared" ref="D28:I28" si="3">-PMT($B$1,COUNT(D3:D26),D27)</f>
        <v>866.78981035880088</v>
      </c>
      <c r="E28" s="16">
        <f t="shared" si="3"/>
        <v>407.13433164931178</v>
      </c>
      <c r="F28" s="16">
        <f t="shared" si="3"/>
        <v>1273.924142008113</v>
      </c>
      <c r="G28" s="16">
        <f t="shared" si="3"/>
        <v>361.17984172099307</v>
      </c>
      <c r="H28" s="16">
        <f t="shared" si="3"/>
        <v>140.90043288115731</v>
      </c>
      <c r="I28" s="16">
        <f t="shared" si="3"/>
        <v>502.08027460215044</v>
      </c>
      <c r="J28" s="17"/>
      <c r="K28" s="17"/>
      <c r="L28" s="52">
        <f t="shared" ref="L28:Q28" si="4">-PMT($B$1,COUNT(L3:L26),L27)</f>
        <v>13.173795421382247</v>
      </c>
      <c r="M28" s="52">
        <f t="shared" si="4"/>
        <v>10.409324515880625</v>
      </c>
      <c r="N28" s="52">
        <f t="shared" si="4"/>
        <v>22.652362396647895</v>
      </c>
      <c r="O28" s="52">
        <f t="shared" si="4"/>
        <v>18.752688714818301</v>
      </c>
      <c r="P28" s="52">
        <f t="shared" si="4"/>
        <v>1.5830658736402237</v>
      </c>
      <c r="Q28" s="52">
        <f t="shared" si="4"/>
        <v>1.6301627090860955</v>
      </c>
      <c r="R28" s="16"/>
      <c r="S28" s="16"/>
      <c r="T28" s="16"/>
      <c r="U28" s="16"/>
      <c r="V28" s="16"/>
      <c r="W28" s="16"/>
      <c r="X28" s="16"/>
      <c r="Y28" s="16"/>
    </row>
    <row r="29" spans="1:25" x14ac:dyDescent="0.2">
      <c r="A29" s="6" t="str">
        <f t="shared" si="0"/>
        <v>&amp;</v>
      </c>
    </row>
    <row r="30" spans="1:25" x14ac:dyDescent="0.2">
      <c r="A30" s="6" t="str">
        <f t="shared" si="0"/>
        <v>&amp;</v>
      </c>
    </row>
    <row r="31" spans="1:25" x14ac:dyDescent="0.2">
      <c r="A31" s="6" t="str">
        <f t="shared" si="0"/>
        <v>&amp;</v>
      </c>
      <c r="C31" s="2"/>
    </row>
    <row r="32" spans="1:25" x14ac:dyDescent="0.2">
      <c r="A32" s="6" t="str">
        <f t="shared" si="0"/>
        <v>2- Alternative Lowest Reasonable Cost Portfolio&amp;2023</v>
      </c>
      <c r="B32" s="6" t="str">
        <f>'Scenario List'!$A$4</f>
        <v>2- Alternative Lowest Reasonable Cost Portfolio</v>
      </c>
      <c r="C32" s="2">
        <v>2023</v>
      </c>
      <c r="D32" s="8">
        <v>644.10513803436618</v>
      </c>
      <c r="E32" s="8">
        <v>316.40463157350325</v>
      </c>
      <c r="F32" s="8">
        <v>960.50976960786943</v>
      </c>
      <c r="G32" s="8">
        <v>410.73458671679418</v>
      </c>
      <c r="H32" s="8">
        <v>125.84061065468848</v>
      </c>
      <c r="I32" s="8">
        <v>536.57519737148266</v>
      </c>
      <c r="J32" s="12">
        <v>0.11223843335017522</v>
      </c>
      <c r="K32" s="12">
        <v>0.10243259014406417</v>
      </c>
      <c r="L32" s="8">
        <v>16.808663887670889</v>
      </c>
      <c r="M32" s="8">
        <v>9.4382463455580883</v>
      </c>
      <c r="N32" s="8">
        <v>27.712615827318928</v>
      </c>
      <c r="O32" s="8">
        <v>15.747054782001086</v>
      </c>
      <c r="P32" s="15">
        <v>2.5071449173806557</v>
      </c>
      <c r="Q32" s="15">
        <v>2.8792050200375625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5738.7217444919961</v>
      </c>
      <c r="Y32" s="8">
        <v>3474.759699974602</v>
      </c>
    </row>
    <row r="33" spans="1:25" x14ac:dyDescent="0.2">
      <c r="A33" s="6" t="str">
        <f t="shared" si="0"/>
        <v>2- Alternative Lowest Reasonable Cost Portfolio&amp;2024</v>
      </c>
      <c r="B33" s="6" t="str">
        <f>'Scenario List'!$A$4</f>
        <v>2- Alternative Lowest Reasonable Cost Portfolio</v>
      </c>
      <c r="C33" s="2">
        <v>2024</v>
      </c>
      <c r="D33" s="8">
        <v>656.95299006866878</v>
      </c>
      <c r="E33" s="8">
        <v>322.03819262241581</v>
      </c>
      <c r="F33" s="8">
        <v>978.99118269108453</v>
      </c>
      <c r="G33" s="8">
        <v>417.56274821897614</v>
      </c>
      <c r="H33" s="8">
        <v>127.07053424849482</v>
      </c>
      <c r="I33" s="8">
        <v>544.63328246747096</v>
      </c>
      <c r="J33" s="12">
        <v>0.11346594624815327</v>
      </c>
      <c r="K33" s="12">
        <v>0.10394554864092911</v>
      </c>
      <c r="L33" s="8">
        <v>13.122286502065643</v>
      </c>
      <c r="M33" s="8">
        <v>7.2890612146082381</v>
      </c>
      <c r="N33" s="8">
        <v>22.188742090449779</v>
      </c>
      <c r="O33" s="8">
        <v>12.610039948924964</v>
      </c>
      <c r="P33" s="15">
        <v>2.4534348175978082</v>
      </c>
      <c r="Q33" s="15">
        <v>2.9672417086309277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5789.8692232460107</v>
      </c>
      <c r="Y33" s="8">
        <v>3485.9034700881521</v>
      </c>
    </row>
    <row r="34" spans="1:25" x14ac:dyDescent="0.2">
      <c r="A34" s="6" t="str">
        <f t="shared" si="0"/>
        <v>2- Alternative Lowest Reasonable Cost Portfolio&amp;2025</v>
      </c>
      <c r="B34" s="6" t="str">
        <f>'Scenario List'!$A$4</f>
        <v>2- Alternative Lowest Reasonable Cost Portfolio</v>
      </c>
      <c r="C34" s="2">
        <v>2025</v>
      </c>
      <c r="D34" s="8">
        <v>680.58351473498999</v>
      </c>
      <c r="E34" s="8">
        <v>329.72191937925635</v>
      </c>
      <c r="F34" s="8">
        <v>1010.3054341142463</v>
      </c>
      <c r="G34" s="8">
        <v>412.90350892122819</v>
      </c>
      <c r="H34" s="8">
        <v>127.21382995064661</v>
      </c>
      <c r="I34" s="8">
        <v>540.11733887187484</v>
      </c>
      <c r="J34" s="12">
        <v>0.11684137918632143</v>
      </c>
      <c r="K34" s="12">
        <v>0.10613308335153807</v>
      </c>
      <c r="L34" s="8">
        <v>10.319298175590967</v>
      </c>
      <c r="M34" s="8">
        <v>5.6522132223630797</v>
      </c>
      <c r="N34" s="8">
        <v>17.61164248706902</v>
      </c>
      <c r="O34" s="8">
        <v>9.5986467123645269</v>
      </c>
      <c r="P34" s="15">
        <v>2.2680867256545083</v>
      </c>
      <c r="Q34" s="15">
        <v>2.7196586755011132</v>
      </c>
      <c r="R34" s="8">
        <v>0.4337254329704559</v>
      </c>
      <c r="S34" s="8">
        <v>0</v>
      </c>
      <c r="T34" s="8">
        <v>0.4337254329704559</v>
      </c>
      <c r="U34" s="8">
        <v>0</v>
      </c>
      <c r="V34" s="8">
        <v>0</v>
      </c>
      <c r="W34" s="8">
        <v>0</v>
      </c>
      <c r="X34" s="8">
        <v>5824.8500614640607</v>
      </c>
      <c r="Y34" s="8">
        <v>3497.7395800739218</v>
      </c>
    </row>
    <row r="35" spans="1:25" x14ac:dyDescent="0.2">
      <c r="A35" s="6" t="str">
        <f t="shared" si="0"/>
        <v>2- Alternative Lowest Reasonable Cost Portfolio&amp;2026</v>
      </c>
      <c r="B35" s="6" t="str">
        <f>'Scenario List'!$A$4</f>
        <v>2- Alternative Lowest Reasonable Cost Portfolio</v>
      </c>
      <c r="C35" s="2">
        <v>2026</v>
      </c>
      <c r="D35" s="8">
        <v>689.31026332150327</v>
      </c>
      <c r="E35" s="8">
        <v>339.80770188471081</v>
      </c>
      <c r="F35" s="8">
        <v>1029.1179652062142</v>
      </c>
      <c r="G35" s="8">
        <v>311.75095500104851</v>
      </c>
      <c r="H35" s="8">
        <v>129.39050577368454</v>
      </c>
      <c r="I35" s="8">
        <v>441.14146077473305</v>
      </c>
      <c r="J35" s="12">
        <v>0.11897574679829936</v>
      </c>
      <c r="K35" s="12">
        <v>0.11031610323139272</v>
      </c>
      <c r="L35" s="8">
        <v>13.36160303490348</v>
      </c>
      <c r="M35" s="8">
        <v>7.1985503359640504</v>
      </c>
      <c r="N35" s="8">
        <v>23.122615965567491</v>
      </c>
      <c r="O35" s="8">
        <v>12.563515052471772</v>
      </c>
      <c r="P35" s="15">
        <v>1.3580611973463683</v>
      </c>
      <c r="Q35" s="15">
        <v>1.4922093815351607</v>
      </c>
      <c r="R35" s="8">
        <v>1.3990557965225998</v>
      </c>
      <c r="S35" s="8">
        <v>0</v>
      </c>
      <c r="T35" s="8">
        <v>1.3990557965225998</v>
      </c>
      <c r="U35" s="8">
        <v>0</v>
      </c>
      <c r="V35" s="8">
        <v>0</v>
      </c>
      <c r="W35" s="8">
        <v>0</v>
      </c>
      <c r="X35" s="8">
        <v>5793.7040268391593</v>
      </c>
      <c r="Y35" s="8">
        <v>3472.6681018386384</v>
      </c>
    </row>
    <row r="36" spans="1:25" x14ac:dyDescent="0.2">
      <c r="A36" s="6" t="str">
        <f t="shared" si="0"/>
        <v>2- Alternative Lowest Reasonable Cost Portfolio&amp;2027</v>
      </c>
      <c r="B36" s="6" t="str">
        <f>'Scenario List'!$A$4</f>
        <v>2- Alternative Lowest Reasonable Cost Portfolio</v>
      </c>
      <c r="C36" s="2">
        <v>2027</v>
      </c>
      <c r="D36" s="8">
        <v>708.47677315135297</v>
      </c>
      <c r="E36" s="8">
        <v>344.01618701669406</v>
      </c>
      <c r="F36" s="8">
        <v>1052.4929601680469</v>
      </c>
      <c r="G36" s="8">
        <v>309.43697828179302</v>
      </c>
      <c r="H36" s="8">
        <v>125.30205157340269</v>
      </c>
      <c r="I36" s="8">
        <v>434.73902985519572</v>
      </c>
      <c r="J36" s="12">
        <v>0.12148106731253508</v>
      </c>
      <c r="K36" s="12">
        <v>0.11092377158234974</v>
      </c>
      <c r="L36" s="8">
        <v>10.984606735937538</v>
      </c>
      <c r="M36" s="8">
        <v>6.0198775066647201</v>
      </c>
      <c r="N36" s="8">
        <v>16.140677630824769</v>
      </c>
      <c r="O36" s="8">
        <v>8.7524305570278358</v>
      </c>
      <c r="P36" s="15">
        <v>1.5332210277054856</v>
      </c>
      <c r="Q36" s="15">
        <v>1.4329042999731518</v>
      </c>
      <c r="R36" s="8">
        <v>3.0856545396681039</v>
      </c>
      <c r="S36" s="8">
        <v>0</v>
      </c>
      <c r="T36" s="8">
        <v>3.0856545396681043</v>
      </c>
      <c r="U36" s="8">
        <v>0</v>
      </c>
      <c r="V36" s="8">
        <v>0</v>
      </c>
      <c r="W36" s="8">
        <v>0</v>
      </c>
      <c r="X36" s="8">
        <v>5831.9933206435408</v>
      </c>
      <c r="Y36" s="8">
        <v>3492.651715406555</v>
      </c>
    </row>
    <row r="37" spans="1:25" x14ac:dyDescent="0.2">
      <c r="A37" s="6" t="str">
        <f t="shared" si="0"/>
        <v>2- Alternative Lowest Reasonable Cost Portfolio&amp;2028</v>
      </c>
      <c r="B37" s="6" t="str">
        <f>'Scenario List'!$A$4</f>
        <v>2- Alternative Lowest Reasonable Cost Portfolio</v>
      </c>
      <c r="C37" s="2">
        <v>2028</v>
      </c>
      <c r="D37" s="8">
        <v>734.69337946383075</v>
      </c>
      <c r="E37" s="8">
        <v>352.77401539955633</v>
      </c>
      <c r="F37" s="8">
        <v>1087.4673948633872</v>
      </c>
      <c r="G37" s="8">
        <v>315.0160423363684</v>
      </c>
      <c r="H37" s="8">
        <v>125.41920440928459</v>
      </c>
      <c r="I37" s="8">
        <v>440.43524674565299</v>
      </c>
      <c r="J37" s="12">
        <v>0.12511627157515917</v>
      </c>
      <c r="K37" s="12">
        <v>0.11301546473738587</v>
      </c>
      <c r="L37" s="8">
        <v>13.207379881069183</v>
      </c>
      <c r="M37" s="8">
        <v>7.2756061608233047</v>
      </c>
      <c r="N37" s="8">
        <v>25.329668907655616</v>
      </c>
      <c r="O37" s="8">
        <v>14.112190249106149</v>
      </c>
      <c r="P37" s="15">
        <v>1.5743354185670666</v>
      </c>
      <c r="Q37" s="15">
        <v>1.4184150619134281</v>
      </c>
      <c r="R37" s="8">
        <v>3.6546611726717537</v>
      </c>
      <c r="S37" s="8">
        <v>0</v>
      </c>
      <c r="T37" s="8">
        <v>3.6546611726717537</v>
      </c>
      <c r="U37" s="8">
        <v>0</v>
      </c>
      <c r="V37" s="8">
        <v>0</v>
      </c>
      <c r="W37" s="8">
        <v>0</v>
      </c>
      <c r="X37" s="8">
        <v>5872.0849831469741</v>
      </c>
      <c r="Y37" s="8">
        <v>3511.0200673762015</v>
      </c>
    </row>
    <row r="38" spans="1:25" x14ac:dyDescent="0.2">
      <c r="A38" s="6" t="str">
        <f t="shared" si="0"/>
        <v>2- Alternative Lowest Reasonable Cost Portfolio&amp;2029</v>
      </c>
      <c r="B38" s="6" t="str">
        <f>'Scenario List'!$A$4</f>
        <v>2- Alternative Lowest Reasonable Cost Portfolio</v>
      </c>
      <c r="C38" s="2">
        <v>2029</v>
      </c>
      <c r="D38" s="8">
        <v>759.18915845799688</v>
      </c>
      <c r="E38" s="8">
        <v>363.62854422802081</v>
      </c>
      <c r="F38" s="8">
        <v>1122.8177026860176</v>
      </c>
      <c r="G38" s="8">
        <v>316.79146131596127</v>
      </c>
      <c r="H38" s="8">
        <v>127.2729305998778</v>
      </c>
      <c r="I38" s="8">
        <v>444.06439191583905</v>
      </c>
      <c r="J38" s="12">
        <v>0.12849487604623477</v>
      </c>
      <c r="K38" s="12">
        <v>0.11565177235464394</v>
      </c>
      <c r="L38" s="8">
        <v>14.764381141823579</v>
      </c>
      <c r="M38" s="8">
        <v>8.1746847927224007</v>
      </c>
      <c r="N38" s="8">
        <v>24.088467373080846</v>
      </c>
      <c r="O38" s="8">
        <v>13.375201243252107</v>
      </c>
      <c r="P38" s="15">
        <v>1.558497490653266</v>
      </c>
      <c r="Q38" s="15">
        <v>1.3845054987276737</v>
      </c>
      <c r="R38" s="8">
        <v>3.8056307256595754</v>
      </c>
      <c r="S38" s="8">
        <v>0</v>
      </c>
      <c r="T38" s="8">
        <v>3.8056307256595767</v>
      </c>
      <c r="U38" s="8">
        <v>0</v>
      </c>
      <c r="V38" s="8">
        <v>0</v>
      </c>
      <c r="W38" s="8">
        <v>0</v>
      </c>
      <c r="X38" s="8">
        <v>5908.3224313538149</v>
      </c>
      <c r="Y38" s="8">
        <v>3531.5758709035058</v>
      </c>
    </row>
    <row r="39" spans="1:25" x14ac:dyDescent="0.2">
      <c r="A39" s="6" t="str">
        <f t="shared" si="0"/>
        <v>2- Alternative Lowest Reasonable Cost Portfolio&amp;2030</v>
      </c>
      <c r="B39" s="6" t="str">
        <f>'Scenario List'!$A$4</f>
        <v>2- Alternative Lowest Reasonable Cost Portfolio</v>
      </c>
      <c r="C39" s="2">
        <v>2030</v>
      </c>
      <c r="D39" s="8">
        <v>784.75946742180122</v>
      </c>
      <c r="E39" s="8">
        <v>375.08087679804601</v>
      </c>
      <c r="F39" s="8">
        <v>1159.8403442198473</v>
      </c>
      <c r="G39" s="8">
        <v>321.25125876329508</v>
      </c>
      <c r="H39" s="8">
        <v>129.60709406281254</v>
      </c>
      <c r="I39" s="8">
        <v>450.85835282610765</v>
      </c>
      <c r="J39" s="12">
        <v>0.13203057852115693</v>
      </c>
      <c r="K39" s="12">
        <v>0.11873474555602197</v>
      </c>
      <c r="L39" s="8">
        <v>12.508485075414605</v>
      </c>
      <c r="M39" s="8">
        <v>9.0195957240323708</v>
      </c>
      <c r="N39" s="8">
        <v>21.287990105262196</v>
      </c>
      <c r="O39" s="8">
        <v>16.349672393214334</v>
      </c>
      <c r="P39" s="15">
        <v>1.4546175379947293</v>
      </c>
      <c r="Q39" s="15">
        <v>1.4482233725931652</v>
      </c>
      <c r="R39" s="8">
        <v>18.031075523875149</v>
      </c>
      <c r="S39" s="8">
        <v>0</v>
      </c>
      <c r="T39" s="8">
        <v>26.765008392180217</v>
      </c>
      <c r="U39" s="8">
        <v>0</v>
      </c>
      <c r="V39" s="8">
        <v>658.82766557142463</v>
      </c>
      <c r="W39" s="8">
        <v>0</v>
      </c>
      <c r="X39" s="8">
        <v>5943.7705735421678</v>
      </c>
      <c r="Y39" s="8">
        <v>3550.2432405970872</v>
      </c>
    </row>
    <row r="40" spans="1:25" x14ac:dyDescent="0.2">
      <c r="A40" s="6" t="str">
        <f t="shared" si="0"/>
        <v>2- Alternative Lowest Reasonable Cost Portfolio&amp;2031</v>
      </c>
      <c r="B40" s="6" t="str">
        <f>'Scenario List'!$A$4</f>
        <v>2- Alternative Lowest Reasonable Cost Portfolio</v>
      </c>
      <c r="C40" s="2">
        <v>2031</v>
      </c>
      <c r="D40" s="8">
        <v>819.07088819241369</v>
      </c>
      <c r="E40" s="8">
        <v>389.29336339380723</v>
      </c>
      <c r="F40" s="8">
        <v>1208.3642515862209</v>
      </c>
      <c r="G40" s="8">
        <v>322.61260902625673</v>
      </c>
      <c r="H40" s="8">
        <v>134.20599037293195</v>
      </c>
      <c r="I40" s="8">
        <v>456.81859939918866</v>
      </c>
      <c r="J40" s="12">
        <v>0.13673214833690034</v>
      </c>
      <c r="K40" s="12">
        <v>0.12235305003588005</v>
      </c>
      <c r="L40" s="8">
        <v>11.235514247749634</v>
      </c>
      <c r="M40" s="8">
        <v>8.2488999370321991</v>
      </c>
      <c r="N40" s="8">
        <v>20.767331041886081</v>
      </c>
      <c r="O40" s="8">
        <v>14.29571762520392</v>
      </c>
      <c r="P40" s="15">
        <v>1.3695695761576878</v>
      </c>
      <c r="Q40" s="15">
        <v>1.3178533229172604</v>
      </c>
      <c r="R40" s="8">
        <v>17.397177885818842</v>
      </c>
      <c r="S40" s="8">
        <v>0</v>
      </c>
      <c r="T40" s="8">
        <v>26.023818365326235</v>
      </c>
      <c r="U40" s="8">
        <v>0</v>
      </c>
      <c r="V40" s="8">
        <v>657.3298700493707</v>
      </c>
      <c r="W40" s="8">
        <v>0</v>
      </c>
      <c r="X40" s="8">
        <v>5990.3314484189114</v>
      </c>
      <c r="Y40" s="8">
        <v>3572.95190143528</v>
      </c>
    </row>
    <row r="41" spans="1:25" x14ac:dyDescent="0.2">
      <c r="A41" s="6" t="str">
        <f t="shared" si="0"/>
        <v>2- Alternative Lowest Reasonable Cost Portfolio&amp;2032</v>
      </c>
      <c r="B41" s="6" t="str">
        <f>'Scenario List'!$A$4</f>
        <v>2- Alternative Lowest Reasonable Cost Portfolio</v>
      </c>
      <c r="C41" s="2">
        <v>2032</v>
      </c>
      <c r="D41" s="8">
        <v>853.26399262067957</v>
      </c>
      <c r="E41" s="8">
        <v>401.57342661485944</v>
      </c>
      <c r="F41" s="8">
        <v>1254.8374192355391</v>
      </c>
      <c r="G41" s="8">
        <v>328.92831195173653</v>
      </c>
      <c r="H41" s="8">
        <v>136.5291977781003</v>
      </c>
      <c r="I41" s="8">
        <v>465.45750972983683</v>
      </c>
      <c r="J41" s="12">
        <v>0.14123132559245216</v>
      </c>
      <c r="K41" s="12">
        <v>0.12533083937125983</v>
      </c>
      <c r="L41" s="8">
        <v>9.3071645332493524</v>
      </c>
      <c r="M41" s="8">
        <v>8.9765496634701236</v>
      </c>
      <c r="N41" s="8">
        <v>15.824085134949939</v>
      </c>
      <c r="O41" s="8">
        <v>17.678052566355333</v>
      </c>
      <c r="P41" s="15">
        <v>1.2298052108146842</v>
      </c>
      <c r="Q41" s="15">
        <v>1.2400831169937785</v>
      </c>
      <c r="R41" s="8">
        <v>66.965109350830744</v>
      </c>
      <c r="S41" s="8">
        <v>0</v>
      </c>
      <c r="T41" s="8">
        <v>64.456962732178269</v>
      </c>
      <c r="U41" s="8">
        <v>0</v>
      </c>
      <c r="V41" s="8">
        <v>1485.1235106184217</v>
      </c>
      <c r="W41" s="8">
        <v>0</v>
      </c>
      <c r="X41" s="8">
        <v>6041.6057771979213</v>
      </c>
      <c r="Y41" s="8">
        <v>3596.0499015820051</v>
      </c>
    </row>
    <row r="42" spans="1:25" x14ac:dyDescent="0.2">
      <c r="A42" s="6" t="str">
        <f t="shared" si="0"/>
        <v>2- Alternative Lowest Reasonable Cost Portfolio&amp;2033</v>
      </c>
      <c r="B42" s="6" t="str">
        <f>'Scenario List'!$A$4</f>
        <v>2- Alternative Lowest Reasonable Cost Portfolio</v>
      </c>
      <c r="C42" s="2">
        <v>2033</v>
      </c>
      <c r="D42" s="8">
        <v>878.82187038916231</v>
      </c>
      <c r="E42" s="8">
        <v>413.18490692117587</v>
      </c>
      <c r="F42" s="8">
        <v>1292.0067773103383</v>
      </c>
      <c r="G42" s="8">
        <v>328.6939182826813</v>
      </c>
      <c r="H42" s="8">
        <v>137.71686720035262</v>
      </c>
      <c r="I42" s="8">
        <v>466.41078548303392</v>
      </c>
      <c r="J42" s="12">
        <v>0.14435169031560144</v>
      </c>
      <c r="K42" s="12">
        <v>0.12788437649391976</v>
      </c>
      <c r="L42" s="8">
        <v>9.6162074633476138</v>
      </c>
      <c r="M42" s="8">
        <v>8.8998629821569679</v>
      </c>
      <c r="N42" s="8">
        <v>15.470616077500893</v>
      </c>
      <c r="O42" s="8">
        <v>15.917573836298942</v>
      </c>
      <c r="P42" s="15">
        <v>1.2165326367633773</v>
      </c>
      <c r="Q42" s="15">
        <v>1.2104176768359198</v>
      </c>
      <c r="R42" s="8">
        <v>66.105014513114469</v>
      </c>
      <c r="S42" s="8">
        <v>0</v>
      </c>
      <c r="T42" s="8">
        <v>63.630576801779199</v>
      </c>
      <c r="U42" s="8">
        <v>0</v>
      </c>
      <c r="V42" s="8">
        <v>1478.7495973951552</v>
      </c>
      <c r="W42" s="8">
        <v>0</v>
      </c>
      <c r="X42" s="8">
        <v>6088.0608219256837</v>
      </c>
      <c r="Y42" s="8">
        <v>3621.3358936554446</v>
      </c>
    </row>
    <row r="43" spans="1:25" x14ac:dyDescent="0.2">
      <c r="A43" s="6" t="str">
        <f t="shared" si="0"/>
        <v>2- Alternative Lowest Reasonable Cost Portfolio&amp;2034</v>
      </c>
      <c r="B43" s="6" t="str">
        <f>'Scenario List'!$A$4</f>
        <v>2- Alternative Lowest Reasonable Cost Portfolio</v>
      </c>
      <c r="C43" s="2">
        <v>2034</v>
      </c>
      <c r="D43" s="8">
        <v>891.19111559275734</v>
      </c>
      <c r="E43" s="8">
        <v>425.17429956123777</v>
      </c>
      <c r="F43" s="8">
        <v>1316.3654151539952</v>
      </c>
      <c r="G43" s="8">
        <v>314.91806870779135</v>
      </c>
      <c r="H43" s="8">
        <v>138.9041230896112</v>
      </c>
      <c r="I43" s="8">
        <v>453.82219179740252</v>
      </c>
      <c r="J43" s="12">
        <v>0.1451614802884125</v>
      </c>
      <c r="K43" s="12">
        <v>0.13050377953421047</v>
      </c>
      <c r="L43" s="8">
        <v>9.9362685545541627</v>
      </c>
      <c r="M43" s="8">
        <v>10.359749439235019</v>
      </c>
      <c r="N43" s="8">
        <v>17.502197191652925</v>
      </c>
      <c r="O43" s="8">
        <v>18.56512160028548</v>
      </c>
      <c r="P43" s="15">
        <v>1.3201352730755267</v>
      </c>
      <c r="Q43" s="15">
        <v>1.2891437644937354</v>
      </c>
      <c r="R43" s="8">
        <v>65.153492112887477</v>
      </c>
      <c r="S43" s="8">
        <v>88.720455549946536</v>
      </c>
      <c r="T43" s="8">
        <v>62.709451742244354</v>
      </c>
      <c r="U43" s="8">
        <v>83.687383041539391</v>
      </c>
      <c r="V43" s="8">
        <v>1476.0019622328016</v>
      </c>
      <c r="W43" s="8">
        <v>197.19323081711667</v>
      </c>
      <c r="X43" s="8">
        <v>6139.3085398557805</v>
      </c>
      <c r="Y43" s="8">
        <v>3647.4169381947736</v>
      </c>
    </row>
    <row r="44" spans="1:25" x14ac:dyDescent="0.2">
      <c r="A44" s="6" t="str">
        <f t="shared" si="0"/>
        <v>2- Alternative Lowest Reasonable Cost Portfolio&amp;2035</v>
      </c>
      <c r="B44" s="6" t="str">
        <f>'Scenario List'!$A$4</f>
        <v>2- Alternative Lowest Reasonable Cost Portfolio</v>
      </c>
      <c r="C44" s="2">
        <v>2035</v>
      </c>
      <c r="D44" s="8">
        <v>923.47392677855169</v>
      </c>
      <c r="E44" s="8">
        <v>440.80461659135403</v>
      </c>
      <c r="F44" s="8">
        <v>1364.2785433699057</v>
      </c>
      <c r="G44" s="8">
        <v>323.09949950124661</v>
      </c>
      <c r="H44" s="8">
        <v>143.42972914595205</v>
      </c>
      <c r="I44" s="8">
        <v>466.52922864719869</v>
      </c>
      <c r="J44" s="12">
        <v>0.14912927646791813</v>
      </c>
      <c r="K44" s="12">
        <v>0.13425468463509249</v>
      </c>
      <c r="L44" s="8">
        <v>11.019561768797521</v>
      </c>
      <c r="M44" s="8">
        <v>11.127975165895132</v>
      </c>
      <c r="N44" s="8">
        <v>18.435061651713724</v>
      </c>
      <c r="O44" s="8">
        <v>21.350403892159918</v>
      </c>
      <c r="P44" s="15">
        <v>1.3386681636786026</v>
      </c>
      <c r="Q44" s="15">
        <v>1.2949037902285767</v>
      </c>
      <c r="R44" s="8">
        <v>64.309658810189077</v>
      </c>
      <c r="S44" s="8">
        <v>88.720455549946536</v>
      </c>
      <c r="T44" s="8">
        <v>61.895642362747367</v>
      </c>
      <c r="U44" s="8">
        <v>83.687383041539391</v>
      </c>
      <c r="V44" s="8">
        <v>1486.3022935824924</v>
      </c>
      <c r="W44" s="8">
        <v>200.50511465704034</v>
      </c>
      <c r="X44" s="8">
        <v>6192.4388601001274</v>
      </c>
      <c r="Y44" s="8">
        <v>3674.6788237882679</v>
      </c>
    </row>
    <row r="45" spans="1:25" x14ac:dyDescent="0.2">
      <c r="A45" s="6" t="str">
        <f t="shared" si="0"/>
        <v>2- Alternative Lowest Reasonable Cost Portfolio&amp;2036</v>
      </c>
      <c r="B45" s="6" t="str">
        <f>'Scenario List'!$A$4</f>
        <v>2- Alternative Lowest Reasonable Cost Portfolio</v>
      </c>
      <c r="C45" s="2">
        <v>2036</v>
      </c>
      <c r="D45" s="8">
        <v>968.89055102531393</v>
      </c>
      <c r="E45" s="8">
        <v>454.94744585008868</v>
      </c>
      <c r="F45" s="8">
        <v>1423.8379968754025</v>
      </c>
      <c r="G45" s="8">
        <v>340.77631530457001</v>
      </c>
      <c r="H45" s="8">
        <v>146.00435182438838</v>
      </c>
      <c r="I45" s="8">
        <v>486.78066712895838</v>
      </c>
      <c r="J45" s="12">
        <v>0.15500177599341528</v>
      </c>
      <c r="K45" s="12">
        <v>0.13741845442498737</v>
      </c>
      <c r="L45" s="8">
        <v>11.658100445396968</v>
      </c>
      <c r="M45" s="8">
        <v>11.358635404557788</v>
      </c>
      <c r="N45" s="8">
        <v>21.047634074239014</v>
      </c>
      <c r="O45" s="8">
        <v>19.999224957284113</v>
      </c>
      <c r="P45" s="15">
        <v>1.3442594828343208</v>
      </c>
      <c r="Q45" s="15">
        <v>1.2734829131440342</v>
      </c>
      <c r="R45" s="8">
        <v>150.20748421583951</v>
      </c>
      <c r="S45" s="8">
        <v>88.720455549946536</v>
      </c>
      <c r="T45" s="8">
        <v>142.90761222174604</v>
      </c>
      <c r="U45" s="8">
        <v>83.701134605770022</v>
      </c>
      <c r="V45" s="8">
        <v>1491.5022985769535</v>
      </c>
      <c r="W45" s="8">
        <v>206.39886515975093</v>
      </c>
      <c r="X45" s="8">
        <v>6250.8351586014987</v>
      </c>
      <c r="Y45" s="8">
        <v>3702.8866913358133</v>
      </c>
    </row>
    <row r="46" spans="1:25" x14ac:dyDescent="0.2">
      <c r="A46" s="6" t="str">
        <f t="shared" si="0"/>
        <v>2- Alternative Lowest Reasonable Cost Portfolio&amp;2037</v>
      </c>
      <c r="B46" s="6" t="str">
        <f>'Scenario List'!$A$4</f>
        <v>2- Alternative Lowest Reasonable Cost Portfolio</v>
      </c>
      <c r="C46" s="2">
        <v>2037</v>
      </c>
      <c r="D46" s="8">
        <v>1002.1688081488235</v>
      </c>
      <c r="E46" s="8">
        <v>470.92657625255674</v>
      </c>
      <c r="F46" s="8">
        <v>1473.0953844013802</v>
      </c>
      <c r="G46" s="8">
        <v>347.17104302187289</v>
      </c>
      <c r="H46" s="8">
        <v>149.90602349076275</v>
      </c>
      <c r="I46" s="8">
        <v>497.07706651263561</v>
      </c>
      <c r="J46" s="12">
        <v>0.15894279619692536</v>
      </c>
      <c r="K46" s="12">
        <v>0.14092088670249478</v>
      </c>
      <c r="L46" s="8">
        <v>12.823964852921662</v>
      </c>
      <c r="M46" s="8">
        <v>12.313809713636033</v>
      </c>
      <c r="N46" s="8">
        <v>22.081594878832689</v>
      </c>
      <c r="O46" s="8">
        <v>21.711995922692225</v>
      </c>
      <c r="P46" s="15">
        <v>1.3510581790135299</v>
      </c>
      <c r="Q46" s="15">
        <v>1.2422069645801257</v>
      </c>
      <c r="R46" s="8">
        <v>149.34909865930942</v>
      </c>
      <c r="S46" s="8">
        <v>88.720455549946536</v>
      </c>
      <c r="T46" s="8">
        <v>142.06784994794975</v>
      </c>
      <c r="U46" s="8">
        <v>83.687383041539391</v>
      </c>
      <c r="V46" s="8">
        <v>1493.7343814011028</v>
      </c>
      <c r="W46" s="8">
        <v>198.33815920015934</v>
      </c>
      <c r="X46" s="8">
        <v>6305.2169216097491</v>
      </c>
      <c r="Y46" s="8">
        <v>3733.4917674118446</v>
      </c>
    </row>
    <row r="47" spans="1:25" x14ac:dyDescent="0.2">
      <c r="A47" s="6" t="str">
        <f t="shared" si="0"/>
        <v>2- Alternative Lowest Reasonable Cost Portfolio&amp;2038</v>
      </c>
      <c r="B47" s="6" t="str">
        <f>'Scenario List'!$A$4</f>
        <v>2- Alternative Lowest Reasonable Cost Portfolio</v>
      </c>
      <c r="C47" s="2">
        <v>2038</v>
      </c>
      <c r="D47" s="8">
        <v>1034.508169073822</v>
      </c>
      <c r="E47" s="8">
        <v>485.84650557990676</v>
      </c>
      <c r="F47" s="8">
        <v>1520.3546746537288</v>
      </c>
      <c r="G47" s="8">
        <v>348.34742648736852</v>
      </c>
      <c r="H47" s="8">
        <v>152.29385683279099</v>
      </c>
      <c r="I47" s="8">
        <v>500.64128332015952</v>
      </c>
      <c r="J47" s="12">
        <v>0.16251915949360371</v>
      </c>
      <c r="K47" s="12">
        <v>0.14398288434472492</v>
      </c>
      <c r="L47" s="8">
        <v>14.904164673825051</v>
      </c>
      <c r="M47" s="8">
        <v>14.264964689812306</v>
      </c>
      <c r="N47" s="8">
        <v>27.064845881851909</v>
      </c>
      <c r="O47" s="8">
        <v>26.053626603963139</v>
      </c>
      <c r="P47" s="15">
        <v>1.3349967953740414</v>
      </c>
      <c r="Q47" s="15">
        <v>1.1924604673788437</v>
      </c>
      <c r="R47" s="8">
        <v>148.50655228944606</v>
      </c>
      <c r="S47" s="8">
        <v>88.720455549946536</v>
      </c>
      <c r="T47" s="8">
        <v>141.25423454768125</v>
      </c>
      <c r="U47" s="8">
        <v>83.687383041539391</v>
      </c>
      <c r="V47" s="8">
        <v>1490.2613360506998</v>
      </c>
      <c r="W47" s="8">
        <v>199.3496846297044</v>
      </c>
      <c r="X47" s="8">
        <v>6365.4536012693161</v>
      </c>
      <c r="Y47" s="8">
        <v>3765.5060129643857</v>
      </c>
    </row>
    <row r="48" spans="1:25" x14ac:dyDescent="0.2">
      <c r="A48" s="6" t="str">
        <f t="shared" si="0"/>
        <v>2- Alternative Lowest Reasonable Cost Portfolio&amp;2039</v>
      </c>
      <c r="B48" s="6" t="str">
        <f>'Scenario List'!$A$4</f>
        <v>2- Alternative Lowest Reasonable Cost Portfolio</v>
      </c>
      <c r="C48" s="2">
        <v>2039</v>
      </c>
      <c r="D48" s="8">
        <v>1092.1113764999686</v>
      </c>
      <c r="E48" s="8">
        <v>507.95684558816117</v>
      </c>
      <c r="F48" s="8">
        <v>1600.0682220881299</v>
      </c>
      <c r="G48" s="8">
        <v>377.24765041917516</v>
      </c>
      <c r="H48" s="8">
        <v>161.44523545505936</v>
      </c>
      <c r="I48" s="8">
        <v>538.69288587423455</v>
      </c>
      <c r="J48" s="12">
        <v>0.16987550426252021</v>
      </c>
      <c r="K48" s="12">
        <v>0.14907323449929613</v>
      </c>
      <c r="L48" s="8">
        <v>14.082559465881193</v>
      </c>
      <c r="M48" s="8">
        <v>14.101187933066672</v>
      </c>
      <c r="N48" s="8">
        <v>25.02695672793628</v>
      </c>
      <c r="O48" s="8">
        <v>25.639876192554468</v>
      </c>
      <c r="P48" s="15">
        <v>1.4223116959523383</v>
      </c>
      <c r="Q48" s="15">
        <v>1.178267095457106</v>
      </c>
      <c r="R48" s="8">
        <v>198.76775296892765</v>
      </c>
      <c r="S48" s="8">
        <v>88.720455549946536</v>
      </c>
      <c r="T48" s="8">
        <v>191.54401079296818</v>
      </c>
      <c r="U48" s="8">
        <v>83.687383041539391</v>
      </c>
      <c r="V48" s="8">
        <v>1231.9625875473323</v>
      </c>
      <c r="W48" s="8">
        <v>198.13931162702119</v>
      </c>
      <c r="X48" s="8">
        <v>6428.8926248734151</v>
      </c>
      <c r="Y48" s="8">
        <v>3799.1739254471695</v>
      </c>
    </row>
    <row r="49" spans="1:25" x14ac:dyDescent="0.2">
      <c r="A49" s="6" t="str">
        <f t="shared" si="0"/>
        <v>2- Alternative Lowest Reasonable Cost Portfolio&amp;2040</v>
      </c>
      <c r="B49" s="6" t="str">
        <f>'Scenario List'!$A$4</f>
        <v>2- Alternative Lowest Reasonable Cost Portfolio</v>
      </c>
      <c r="C49" s="2">
        <v>2040</v>
      </c>
      <c r="D49" s="8">
        <v>1121.5850868783655</v>
      </c>
      <c r="E49" s="8">
        <v>522.17322962158846</v>
      </c>
      <c r="F49" s="8">
        <v>1643.7583164999539</v>
      </c>
      <c r="G49" s="8">
        <v>376.9978646028411</v>
      </c>
      <c r="H49" s="8">
        <v>162.2377193248573</v>
      </c>
      <c r="I49" s="8">
        <v>539.23558392769837</v>
      </c>
      <c r="J49" s="12">
        <v>0.17256798450732388</v>
      </c>
      <c r="K49" s="12">
        <v>0.15172073060513705</v>
      </c>
      <c r="L49" s="8">
        <v>15.959824291156616</v>
      </c>
      <c r="M49" s="8">
        <v>15.667856769247335</v>
      </c>
      <c r="N49" s="8">
        <v>29.740343948652026</v>
      </c>
      <c r="O49" s="8">
        <v>32.23498835796596</v>
      </c>
      <c r="P49" s="15">
        <v>1.4563684175324598</v>
      </c>
      <c r="Q49" s="15">
        <v>1.1631125106027302</v>
      </c>
      <c r="R49" s="8">
        <v>197.95551700651595</v>
      </c>
      <c r="S49" s="8">
        <v>88.720455549946536</v>
      </c>
      <c r="T49" s="8">
        <v>190.77080155548671</v>
      </c>
      <c r="U49" s="8">
        <v>83.701134605770022</v>
      </c>
      <c r="V49" s="8">
        <v>1228.8337275603635</v>
      </c>
      <c r="W49" s="8">
        <v>205.60912348968156</v>
      </c>
      <c r="X49" s="8">
        <v>6499.3810415092648</v>
      </c>
      <c r="Y49" s="8">
        <v>3834.7415038680715</v>
      </c>
    </row>
    <row r="50" spans="1:25" x14ac:dyDescent="0.2">
      <c r="A50" s="6" t="str">
        <f t="shared" si="0"/>
        <v>2- Alternative Lowest Reasonable Cost Portfolio&amp;2041</v>
      </c>
      <c r="B50" s="6" t="str">
        <f>'Scenario List'!$A$4</f>
        <v>2- Alternative Lowest Reasonable Cost Portfolio</v>
      </c>
      <c r="C50" s="2">
        <v>2041</v>
      </c>
      <c r="D50" s="8">
        <v>1160.8009636269928</v>
      </c>
      <c r="E50" s="8">
        <v>532.89445573368585</v>
      </c>
      <c r="F50" s="8">
        <v>1693.6954193606787</v>
      </c>
      <c r="G50" s="8">
        <v>381.88610838805118</v>
      </c>
      <c r="H50" s="8">
        <v>158.90823295607382</v>
      </c>
      <c r="I50" s="8">
        <v>540.79434134412497</v>
      </c>
      <c r="J50" s="12">
        <v>0.17674580841185469</v>
      </c>
      <c r="K50" s="12">
        <v>0.15306658045387628</v>
      </c>
      <c r="L50" s="8">
        <v>14.529337759926655</v>
      </c>
      <c r="M50" s="8">
        <v>15.44776507850443</v>
      </c>
      <c r="N50" s="8">
        <v>23.698642343991608</v>
      </c>
      <c r="O50" s="8">
        <v>27.614775702347259</v>
      </c>
      <c r="P50" s="15">
        <v>1.5749248753159284</v>
      </c>
      <c r="Q50" s="15">
        <v>1.1207421236641211</v>
      </c>
      <c r="R50" s="8">
        <v>269.78672383300363</v>
      </c>
      <c r="S50" s="8">
        <v>116.74882327231433</v>
      </c>
      <c r="T50" s="8">
        <v>263.97781188630478</v>
      </c>
      <c r="U50" s="8">
        <v>111.71575076390718</v>
      </c>
      <c r="V50" s="8">
        <v>1348.6526478897749</v>
      </c>
      <c r="W50" s="8">
        <v>54.19982563333906</v>
      </c>
      <c r="X50" s="8">
        <v>6567.6293772245162</v>
      </c>
      <c r="Y50" s="8">
        <v>3873.3933957327577</v>
      </c>
    </row>
    <row r="51" spans="1:25" x14ac:dyDescent="0.2">
      <c r="A51" s="6" t="str">
        <f t="shared" si="0"/>
        <v>2- Alternative Lowest Reasonable Cost Portfolio&amp;2042</v>
      </c>
      <c r="B51" s="6" t="str">
        <f>'Scenario List'!$A$4</f>
        <v>2- Alternative Lowest Reasonable Cost Portfolio</v>
      </c>
      <c r="C51" s="2">
        <v>2042</v>
      </c>
      <c r="D51" s="8">
        <v>1254.4872319627789</v>
      </c>
      <c r="E51" s="8">
        <v>562.94318077179889</v>
      </c>
      <c r="F51" s="8">
        <v>1817.4304127345777</v>
      </c>
      <c r="G51" s="8">
        <v>397.5734326105129</v>
      </c>
      <c r="H51" s="8">
        <v>174.40997536139869</v>
      </c>
      <c r="I51" s="8">
        <v>571.98340797191156</v>
      </c>
      <c r="J51" s="12">
        <v>0.18881169954941199</v>
      </c>
      <c r="K51" s="12">
        <v>0.15980097868275198</v>
      </c>
      <c r="L51" s="8">
        <v>17.681513363897043</v>
      </c>
      <c r="M51" s="8">
        <v>20.934366889056076</v>
      </c>
      <c r="N51" s="8">
        <v>29.558957249174675</v>
      </c>
      <c r="O51" s="8">
        <v>40.471030150939598</v>
      </c>
      <c r="P51" s="15">
        <v>1.5070588605872437</v>
      </c>
      <c r="Q51" s="15">
        <v>0.89971010559556597</v>
      </c>
      <c r="R51" s="8">
        <v>484.51290963944177</v>
      </c>
      <c r="S51" s="8">
        <v>235.78471820390689</v>
      </c>
      <c r="T51" s="8">
        <v>480.75787241819938</v>
      </c>
      <c r="U51" s="8">
        <v>223.9987916148919</v>
      </c>
      <c r="V51" s="8">
        <v>603.63375336940283</v>
      </c>
      <c r="W51" s="8">
        <v>334.5714726786627</v>
      </c>
      <c r="X51" s="8">
        <v>6644.1181079167172</v>
      </c>
      <c r="Y51" s="8">
        <v>3914.3456243841706</v>
      </c>
    </row>
    <row r="52" spans="1:25" x14ac:dyDescent="0.2">
      <c r="A52" s="6" t="str">
        <f t="shared" si="0"/>
        <v>2- Alternative Lowest Reasonable Cost Portfolio&amp;2043</v>
      </c>
      <c r="B52" s="6" t="str">
        <f>'Scenario List'!$A$4</f>
        <v>2- Alternative Lowest Reasonable Cost Portfolio</v>
      </c>
      <c r="C52" s="2">
        <v>2043</v>
      </c>
      <c r="D52" s="8">
        <v>1317.1093532885936</v>
      </c>
      <c r="E52" s="8">
        <v>592.28795655178862</v>
      </c>
      <c r="F52" s="8">
        <v>1909.3973098403821</v>
      </c>
      <c r="G52" s="8">
        <v>428.54697528291331</v>
      </c>
      <c r="H52" s="8">
        <v>188.70130449776599</v>
      </c>
      <c r="I52" s="8">
        <v>617.24827978067924</v>
      </c>
      <c r="J52" s="12">
        <v>0.19581728136969906</v>
      </c>
      <c r="K52" s="12">
        <v>0.16606765083048319</v>
      </c>
      <c r="L52" s="8">
        <v>18.986197786284261</v>
      </c>
      <c r="M52" s="8">
        <v>20.99979479229377</v>
      </c>
      <c r="N52" s="8">
        <v>35.69018527461234</v>
      </c>
      <c r="O52" s="8">
        <v>40.600021838223313</v>
      </c>
      <c r="P52" s="15">
        <v>1.7823438968702043</v>
      </c>
      <c r="Q52" s="15">
        <v>0.90413945462298495</v>
      </c>
      <c r="R52" s="8">
        <v>523.64636620785961</v>
      </c>
      <c r="S52" s="8">
        <v>257.52701243803398</v>
      </c>
      <c r="T52" s="8">
        <v>519.87694205351158</v>
      </c>
      <c r="U52" s="8">
        <v>245.74108584901902</v>
      </c>
      <c r="V52" s="8">
        <v>365.79327924432533</v>
      </c>
      <c r="W52" s="8">
        <v>230.27851543594937</v>
      </c>
      <c r="X52" s="8">
        <v>6726.2161136938566</v>
      </c>
      <c r="Y52" s="8">
        <v>3958.1695565454152</v>
      </c>
    </row>
    <row r="53" spans="1:25" x14ac:dyDescent="0.2">
      <c r="A53" s="6" t="str">
        <f t="shared" si="0"/>
        <v>2- Alternative Lowest Reasonable Cost Portfolio&amp;2044</v>
      </c>
      <c r="B53" s="6" t="str">
        <f>'Scenario List'!$A$4</f>
        <v>2- Alternative Lowest Reasonable Cost Portfolio</v>
      </c>
      <c r="C53" s="2">
        <v>2044</v>
      </c>
      <c r="D53" s="8">
        <v>1376.1462998794921</v>
      </c>
      <c r="E53" s="8">
        <v>620.16537815651634</v>
      </c>
      <c r="F53" s="8">
        <v>1996.3116780360083</v>
      </c>
      <c r="G53" s="8">
        <v>461.54690007283972</v>
      </c>
      <c r="H53" s="8">
        <v>201.0039613808764</v>
      </c>
      <c r="I53" s="8">
        <v>662.55086145371615</v>
      </c>
      <c r="J53" s="12">
        <v>0.20183099044688341</v>
      </c>
      <c r="K53" s="12">
        <v>0.17166091631788855</v>
      </c>
      <c r="L53" s="8">
        <v>23.194694695739713</v>
      </c>
      <c r="M53" s="8">
        <v>25.159284746612801</v>
      </c>
      <c r="N53" s="8">
        <v>41.522893600657135</v>
      </c>
      <c r="O53" s="8">
        <v>44.353647618233538</v>
      </c>
      <c r="P53" s="15">
        <v>1.8794312622002511</v>
      </c>
      <c r="Q53" s="15">
        <v>0.99816631294979297</v>
      </c>
      <c r="R53" s="8">
        <v>560.29031991267141</v>
      </c>
      <c r="S53" s="8">
        <v>277.55802478234386</v>
      </c>
      <c r="T53" s="8">
        <v>562.00384820486681</v>
      </c>
      <c r="U53" s="8">
        <v>265.80430017854474</v>
      </c>
      <c r="V53" s="8">
        <v>398.01594112759756</v>
      </c>
      <c r="W53" s="8">
        <v>205.7433769206686</v>
      </c>
      <c r="X53" s="8">
        <v>6818.3101952405941</v>
      </c>
      <c r="Y53" s="8">
        <v>4005.7248203845747</v>
      </c>
    </row>
    <row r="54" spans="1:25" x14ac:dyDescent="0.2">
      <c r="A54" s="6" t="str">
        <f t="shared" si="0"/>
        <v>2- Alternative Lowest Reasonable Cost Portfolio&amp;2045</v>
      </c>
      <c r="B54" s="6" t="str">
        <f>'Scenario List'!$A$4</f>
        <v>2- Alternative Lowest Reasonable Cost Portfolio</v>
      </c>
      <c r="C54" s="2">
        <v>2045</v>
      </c>
      <c r="D54" s="8">
        <v>1536.8420681838656</v>
      </c>
      <c r="E54" s="8">
        <v>662.29791876264198</v>
      </c>
      <c r="F54" s="8">
        <v>2199.1399869465076</v>
      </c>
      <c r="G54" s="8">
        <v>568.36777454684193</v>
      </c>
      <c r="H54" s="8">
        <v>226.80584161451304</v>
      </c>
      <c r="I54" s="8">
        <v>795.17361616135497</v>
      </c>
      <c r="J54" s="12">
        <v>0.2223633905095804</v>
      </c>
      <c r="K54" s="12">
        <v>0.1806547710836616</v>
      </c>
      <c r="L54" s="8">
        <v>20.887823663171854</v>
      </c>
      <c r="M54" s="8">
        <v>23.682345356663184</v>
      </c>
      <c r="N54" s="8">
        <v>39.281896649635776</v>
      </c>
      <c r="O54" s="8">
        <v>46.298786938641413</v>
      </c>
      <c r="P54" s="15">
        <v>1.5625022608199211</v>
      </c>
      <c r="Q54" s="15">
        <v>0.86516497864165232</v>
      </c>
      <c r="R54" s="8">
        <v>913.04268090468258</v>
      </c>
      <c r="S54" s="8">
        <v>346.70862991834173</v>
      </c>
      <c r="T54" s="8">
        <v>907.95826530864724</v>
      </c>
      <c r="U54" s="8">
        <v>331.98941031138742</v>
      </c>
      <c r="V54" s="8">
        <v>1121.7715703817405</v>
      </c>
      <c r="W54" s="8">
        <v>225.12257428368153</v>
      </c>
      <c r="X54" s="8">
        <v>6911.3987903402276</v>
      </c>
      <c r="Y54" s="8">
        <v>4057.8873785263272</v>
      </c>
    </row>
    <row r="55" spans="1:25" x14ac:dyDescent="0.2">
      <c r="A55" s="6" t="str">
        <f t="shared" si="0"/>
        <v>2- Alternative Lowest Reasonable Cost Portfolio&amp;NPV</v>
      </c>
      <c r="B55" s="6" t="str">
        <f>'Scenario List'!$A$4</f>
        <v>2- Alternative Lowest Reasonable Cost Portfolio</v>
      </c>
      <c r="C55" s="3" t="s">
        <v>6</v>
      </c>
      <c r="D55" s="16">
        <f t="shared" ref="D55:I55" si="5">NPV($B$1,D31:D54)</f>
        <v>10108.216984358536</v>
      </c>
      <c r="E55" s="16">
        <f t="shared" si="5"/>
        <v>4782.933290400093</v>
      </c>
      <c r="F55" s="16">
        <f t="shared" si="5"/>
        <v>14891.150274758635</v>
      </c>
      <c r="G55" s="16">
        <f t="shared" si="5"/>
        <v>4232.4173302417757</v>
      </c>
      <c r="H55" s="16">
        <f t="shared" si="5"/>
        <v>1651.6991513321218</v>
      </c>
      <c r="I55" s="16">
        <f t="shared" si="5"/>
        <v>5884.1164815738957</v>
      </c>
      <c r="L55" s="52">
        <f t="shared" ref="L55:Q55" si="6">NPV($B$1,L31:L54)</f>
        <v>156.33419039728403</v>
      </c>
      <c r="M55" s="52">
        <f t="shared" si="6"/>
        <v>121.84851651187265</v>
      </c>
      <c r="N55" s="52">
        <f t="shared" si="6"/>
        <v>269.70550317759108</v>
      </c>
      <c r="O55" s="52">
        <f t="shared" si="6"/>
        <v>219.56685622448018</v>
      </c>
      <c r="P55" s="52">
        <f t="shared" si="6"/>
        <v>19.507807828572624</v>
      </c>
      <c r="Q55" s="52">
        <f t="shared" si="6"/>
        <v>19.204138858454787</v>
      </c>
      <c r="X55" s="52">
        <f>-PMT($B$1,22,NPV($B$1,X33:X54))</f>
        <v>6096.5530199763716</v>
      </c>
      <c r="Y55" s="52">
        <f>-PMT($B$1,22,NPV($B$1,Y33:Y54))</f>
        <v>3630.0035521093382</v>
      </c>
    </row>
    <row r="56" spans="1:25" x14ac:dyDescent="0.2">
      <c r="A56" s="6" t="str">
        <f t="shared" si="0"/>
        <v>2- Alternative Lowest Reasonable Cost Portfolio&amp;Levelized</v>
      </c>
      <c r="B56" s="6" t="str">
        <f>'Scenario List'!$A$4</f>
        <v>2- Alternative Lowest Reasonable Cost Portfolio</v>
      </c>
      <c r="C56" s="3" t="s">
        <v>7</v>
      </c>
      <c r="D56" s="16">
        <f t="shared" ref="D56:I56" si="7">-PMT($B$1,COUNT(D31:D54),D55)</f>
        <v>859.55382420436786</v>
      </c>
      <c r="E56" s="16">
        <f t="shared" si="7"/>
        <v>406.71748608478003</v>
      </c>
      <c r="F56" s="16">
        <f t="shared" si="7"/>
        <v>1266.2713102891485</v>
      </c>
      <c r="G56" s="16">
        <f t="shared" si="7"/>
        <v>359.90427465769568</v>
      </c>
      <c r="H56" s="16">
        <f t="shared" si="7"/>
        <v>140.45249762243103</v>
      </c>
      <c r="I56" s="16">
        <f t="shared" si="7"/>
        <v>500.35677228012656</v>
      </c>
      <c r="L56" s="52">
        <f t="shared" ref="L56:Q56" si="8">-PMT($B$1,COUNT(L31:L54),L55)</f>
        <v>13.293902516914242</v>
      </c>
      <c r="M56" s="52">
        <f t="shared" si="8"/>
        <v>10.361407803520322</v>
      </c>
      <c r="N56" s="52">
        <f t="shared" si="8"/>
        <v>22.934449965210487</v>
      </c>
      <c r="O56" s="52">
        <f t="shared" si="8"/>
        <v>18.670902220275128</v>
      </c>
      <c r="P56" s="52">
        <f t="shared" si="8"/>
        <v>1.6588495129101739</v>
      </c>
      <c r="Q56" s="52">
        <f t="shared" si="8"/>
        <v>1.6330269741814452</v>
      </c>
    </row>
    <row r="57" spans="1:25" x14ac:dyDescent="0.2">
      <c r="A57" s="6" t="str">
        <f t="shared" si="0"/>
        <v>&amp;</v>
      </c>
    </row>
    <row r="58" spans="1:25" x14ac:dyDescent="0.2">
      <c r="A58" s="6" t="str">
        <f t="shared" si="0"/>
        <v>&amp;</v>
      </c>
    </row>
    <row r="59" spans="1:25" x14ac:dyDescent="0.2">
      <c r="A59" s="6" t="str">
        <f t="shared" si="0"/>
        <v>&amp;</v>
      </c>
    </row>
    <row r="60" spans="1:25" x14ac:dyDescent="0.2">
      <c r="A60" s="6" t="str">
        <f t="shared" si="0"/>
        <v>&amp;</v>
      </c>
      <c r="C60" s="2"/>
    </row>
    <row r="61" spans="1:25" x14ac:dyDescent="0.2">
      <c r="A61" s="6" t="str">
        <f t="shared" si="0"/>
        <v>3- Baseline Portfolio&amp;2023</v>
      </c>
      <c r="B61" s="6" t="str">
        <f>'Scenario List'!$A$5</f>
        <v>3- Baseline Portfolio</v>
      </c>
      <c r="C61" s="2">
        <v>2023</v>
      </c>
      <c r="D61" s="8">
        <v>644.35381508280739</v>
      </c>
      <c r="E61" s="8">
        <v>316.40239455462665</v>
      </c>
      <c r="F61" s="8">
        <v>960.75620963743404</v>
      </c>
      <c r="G61" s="8">
        <v>237.08284356039445</v>
      </c>
      <c r="H61" s="8">
        <v>125.83890972954545</v>
      </c>
      <c r="I61" s="8">
        <v>362.92175328993989</v>
      </c>
      <c r="J61" s="12">
        <v>0.11228217775301841</v>
      </c>
      <c r="K61" s="12">
        <v>0.10242299380892764</v>
      </c>
      <c r="L61" s="8">
        <v>16.808400861879033</v>
      </c>
      <c r="M61" s="8">
        <v>9.4395370395143168</v>
      </c>
      <c r="N61" s="8">
        <v>27.712544310743795</v>
      </c>
      <c r="O61" s="8">
        <v>15.74892153057101</v>
      </c>
      <c r="P61" s="15">
        <v>2.5071495936225858</v>
      </c>
      <c r="Q61" s="15">
        <v>2.8792050200375625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5738.7007268434072</v>
      </c>
      <c r="Y61" s="8">
        <v>3475.0272683816693</v>
      </c>
    </row>
    <row r="62" spans="1:25" x14ac:dyDescent="0.2">
      <c r="A62" s="6" t="str">
        <f t="shared" si="0"/>
        <v>3- Baseline Portfolio&amp;2024</v>
      </c>
      <c r="B62" s="6" t="str">
        <f>'Scenario List'!$A$5</f>
        <v>3- Baseline Portfolio</v>
      </c>
      <c r="C62" s="2">
        <v>2024</v>
      </c>
      <c r="D62" s="8">
        <v>657.52126750815364</v>
      </c>
      <c r="E62" s="8">
        <v>322.0262781898258</v>
      </c>
      <c r="F62" s="8">
        <v>979.54754569797944</v>
      </c>
      <c r="G62" s="8">
        <v>232.0119732820888</v>
      </c>
      <c r="H62" s="8">
        <v>127.05979450314125</v>
      </c>
      <c r="I62" s="8">
        <v>359.07176778523007</v>
      </c>
      <c r="J62" s="12">
        <v>0.1135649664430529</v>
      </c>
      <c r="K62" s="12">
        <v>0.10392256496909974</v>
      </c>
      <c r="L62" s="8">
        <v>13.121846285235302</v>
      </c>
      <c r="M62" s="8">
        <v>7.2914270703604647</v>
      </c>
      <c r="N62" s="8">
        <v>22.188738565964186</v>
      </c>
      <c r="O62" s="8">
        <v>12.611182502166344</v>
      </c>
      <c r="P62" s="15">
        <v>2.4534395808316507</v>
      </c>
      <c r="Q62" s="15">
        <v>2.9672417086309277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5789.8248738343736</v>
      </c>
      <c r="Y62" s="8">
        <v>3486.4740129106776</v>
      </c>
    </row>
    <row r="63" spans="1:25" x14ac:dyDescent="0.2">
      <c r="A63" s="6" t="str">
        <f t="shared" si="0"/>
        <v>3- Baseline Portfolio&amp;2025</v>
      </c>
      <c r="B63" s="6" t="str">
        <f>'Scenario List'!$A$5</f>
        <v>3- Baseline Portfolio</v>
      </c>
      <c r="C63" s="2">
        <v>2025</v>
      </c>
      <c r="D63" s="8">
        <v>681.54403989081572</v>
      </c>
      <c r="E63" s="8">
        <v>329.72659250990256</v>
      </c>
      <c r="F63" s="8">
        <v>1011.2706324007183</v>
      </c>
      <c r="G63" s="8">
        <v>234.40105870985286</v>
      </c>
      <c r="H63" s="8">
        <v>127.22054938124732</v>
      </c>
      <c r="I63" s="8">
        <v>361.6216080911002</v>
      </c>
      <c r="J63" s="12">
        <v>0.11700735406239808</v>
      </c>
      <c r="K63" s="12">
        <v>0.10610208589460492</v>
      </c>
      <c r="L63" s="8">
        <v>10.31850385426711</v>
      </c>
      <c r="M63" s="8">
        <v>5.6563937497784096</v>
      </c>
      <c r="N63" s="8">
        <v>17.610319247669281</v>
      </c>
      <c r="O63" s="8">
        <v>9.6018397311251249</v>
      </c>
      <c r="P63" s="15">
        <v>2.268092632346657</v>
      </c>
      <c r="Q63" s="15">
        <v>2.7196586755011132</v>
      </c>
      <c r="R63" s="8">
        <v>0.4337254329704559</v>
      </c>
      <c r="S63" s="8">
        <v>0</v>
      </c>
      <c r="T63" s="8">
        <v>0.4337254329704559</v>
      </c>
      <c r="U63" s="8">
        <v>0</v>
      </c>
      <c r="V63" s="8">
        <v>0</v>
      </c>
      <c r="W63" s="8">
        <v>0</v>
      </c>
      <c r="X63" s="8">
        <v>5824.7966151542887</v>
      </c>
      <c r="Y63" s="8">
        <v>3498.6912336044452</v>
      </c>
    </row>
    <row r="64" spans="1:25" x14ac:dyDescent="0.2">
      <c r="A64" s="6" t="str">
        <f t="shared" si="0"/>
        <v>3- Baseline Portfolio&amp;2026</v>
      </c>
      <c r="B64" s="6" t="str">
        <f>'Scenario List'!$A$5</f>
        <v>3- Baseline Portfolio</v>
      </c>
      <c r="C64" s="2">
        <v>2026</v>
      </c>
      <c r="D64" s="8">
        <v>690.72676458959779</v>
      </c>
      <c r="E64" s="8">
        <v>339.8088836834113</v>
      </c>
      <c r="F64" s="8">
        <v>1030.535648273009</v>
      </c>
      <c r="G64" s="8">
        <v>208.26352365201132</v>
      </c>
      <c r="H64" s="8">
        <v>129.39471403084707</v>
      </c>
      <c r="I64" s="8">
        <v>337.65823768285838</v>
      </c>
      <c r="J64" s="12">
        <v>0.11922091741319368</v>
      </c>
      <c r="K64" s="12">
        <v>0.11026743453345345</v>
      </c>
      <c r="L64" s="8">
        <v>13.360028598956026</v>
      </c>
      <c r="M64" s="8">
        <v>7.2074019038641683</v>
      </c>
      <c r="N64" s="8">
        <v>23.121145601550637</v>
      </c>
      <c r="O64" s="8">
        <v>12.583249038356996</v>
      </c>
      <c r="P64" s="15">
        <v>1.3580652872160504</v>
      </c>
      <c r="Q64" s="15">
        <v>1.4922093815351607</v>
      </c>
      <c r="R64" s="8">
        <v>1.3990557965225998</v>
      </c>
      <c r="S64" s="8">
        <v>0</v>
      </c>
      <c r="T64" s="8">
        <v>1.3990557965225998</v>
      </c>
      <c r="U64" s="8">
        <v>0</v>
      </c>
      <c r="V64" s="8">
        <v>0</v>
      </c>
      <c r="W64" s="8">
        <v>0</v>
      </c>
      <c r="X64" s="8">
        <v>5793.6709394349782</v>
      </c>
      <c r="Y64" s="8">
        <v>3474.0383743474008</v>
      </c>
    </row>
    <row r="65" spans="1:25" x14ac:dyDescent="0.2">
      <c r="A65" s="6" t="str">
        <f t="shared" si="0"/>
        <v>3- Baseline Portfolio&amp;2027</v>
      </c>
      <c r="B65" s="6" t="str">
        <f>'Scenario List'!$A$5</f>
        <v>3- Baseline Portfolio</v>
      </c>
      <c r="C65" s="2">
        <v>2027</v>
      </c>
      <c r="D65" s="8">
        <v>710.41237933184425</v>
      </c>
      <c r="E65" s="8">
        <v>344.00910846396107</v>
      </c>
      <c r="F65" s="8">
        <v>1054.4214877958052</v>
      </c>
      <c r="G65" s="8">
        <v>207.48103725329213</v>
      </c>
      <c r="H65" s="8">
        <v>125.29908334996323</v>
      </c>
      <c r="I65" s="8">
        <v>332.78012060325534</v>
      </c>
      <c r="J65" s="12">
        <v>0.1218124024499784</v>
      </c>
      <c r="K65" s="12">
        <v>0.11085603299694428</v>
      </c>
      <c r="L65" s="8">
        <v>10.982786573302402</v>
      </c>
      <c r="M65" s="8">
        <v>6.0294448887761076</v>
      </c>
      <c r="N65" s="8">
        <v>16.137850772952845</v>
      </c>
      <c r="O65" s="8">
        <v>8.7681537640558531</v>
      </c>
      <c r="P65" s="15">
        <v>1.5332232314396095</v>
      </c>
      <c r="Q65" s="15">
        <v>1.4329042999731518</v>
      </c>
      <c r="R65" s="8">
        <v>3.0856545396681039</v>
      </c>
      <c r="S65" s="8">
        <v>0</v>
      </c>
      <c r="T65" s="8">
        <v>3.0856545396681043</v>
      </c>
      <c r="U65" s="8">
        <v>0</v>
      </c>
      <c r="V65" s="8">
        <v>0</v>
      </c>
      <c r="W65" s="8">
        <v>0</v>
      </c>
      <c r="X65" s="8">
        <v>5832.0200984753683</v>
      </c>
      <c r="Y65" s="8">
        <v>3494.4829570790039</v>
      </c>
    </row>
    <row r="66" spans="1:25" x14ac:dyDescent="0.2">
      <c r="A66" s="6" t="str">
        <f t="shared" si="0"/>
        <v>3- Baseline Portfolio&amp;2028</v>
      </c>
      <c r="B66" s="6" t="str">
        <f>'Scenario List'!$A$5</f>
        <v>3- Baseline Portfolio</v>
      </c>
      <c r="C66" s="2">
        <v>2028</v>
      </c>
      <c r="D66" s="8">
        <v>737.22022719768745</v>
      </c>
      <c r="E66" s="8">
        <v>352.7627341802102</v>
      </c>
      <c r="F66" s="8">
        <v>1089.9829613778977</v>
      </c>
      <c r="G66" s="8">
        <v>211.54974102996783</v>
      </c>
      <c r="H66" s="8">
        <v>125.4132069264567</v>
      </c>
      <c r="I66" s="8">
        <v>336.9629479564245</v>
      </c>
      <c r="J66" s="12">
        <v>0.12554421170370228</v>
      </c>
      <c r="K66" s="12">
        <v>0.11292752789138195</v>
      </c>
      <c r="L66" s="8">
        <v>13.20440806168693</v>
      </c>
      <c r="M66" s="8">
        <v>7.2914743731763236</v>
      </c>
      <c r="N66" s="8">
        <v>25.323728320421509</v>
      </c>
      <c r="O66" s="8">
        <v>14.14435283295802</v>
      </c>
      <c r="P66" s="15">
        <v>1.5743371758735696</v>
      </c>
      <c r="Q66" s="15">
        <v>1.4184150619134281</v>
      </c>
      <c r="R66" s="8">
        <v>3.6546611726717537</v>
      </c>
      <c r="S66" s="8">
        <v>0</v>
      </c>
      <c r="T66" s="8">
        <v>3.6546611726717537</v>
      </c>
      <c r="U66" s="8">
        <v>0</v>
      </c>
      <c r="V66" s="8">
        <v>0</v>
      </c>
      <c r="W66" s="8">
        <v>0</v>
      </c>
      <c r="X66" s="8">
        <v>5872.1960749381724</v>
      </c>
      <c r="Y66" s="8">
        <v>3513.3508606421024</v>
      </c>
    </row>
    <row r="67" spans="1:25" x14ac:dyDescent="0.2">
      <c r="A67" s="6" t="str">
        <f t="shared" si="0"/>
        <v>3- Baseline Portfolio&amp;2029</v>
      </c>
      <c r="B67" s="6" t="str">
        <f>'Scenario List'!$A$5</f>
        <v>3- Baseline Portfolio</v>
      </c>
      <c r="C67" s="2">
        <v>2029</v>
      </c>
      <c r="D67" s="8">
        <v>762.34248170724823</v>
      </c>
      <c r="E67" s="8">
        <v>363.61117074422299</v>
      </c>
      <c r="F67" s="8">
        <v>1125.9536524514713</v>
      </c>
      <c r="G67" s="8">
        <v>213.10504089154557</v>
      </c>
      <c r="H67" s="8">
        <v>127.26205158182948</v>
      </c>
      <c r="I67" s="8">
        <v>340.36709247337507</v>
      </c>
      <c r="J67" s="12">
        <v>0.12902342921451221</v>
      </c>
      <c r="K67" s="12">
        <v>0.11554167175917324</v>
      </c>
      <c r="L67" s="8">
        <v>14.76060267178673</v>
      </c>
      <c r="M67" s="8">
        <v>8.1956062223735699</v>
      </c>
      <c r="N67" s="8">
        <v>24.079651161540511</v>
      </c>
      <c r="O67" s="8">
        <v>13.40311092700648</v>
      </c>
      <c r="P67" s="15">
        <v>1.5584989854187461</v>
      </c>
      <c r="Q67" s="15">
        <v>1.3845054987276737</v>
      </c>
      <c r="R67" s="8">
        <v>3.8056307256595754</v>
      </c>
      <c r="S67" s="8">
        <v>0</v>
      </c>
      <c r="T67" s="8">
        <v>3.8056307256595767</v>
      </c>
      <c r="U67" s="8">
        <v>0</v>
      </c>
      <c r="V67" s="8">
        <v>0</v>
      </c>
      <c r="W67" s="8">
        <v>0</v>
      </c>
      <c r="X67" s="8">
        <v>5908.558518002108</v>
      </c>
      <c r="Y67" s="8">
        <v>3534.4216080775113</v>
      </c>
    </row>
    <row r="68" spans="1:25" x14ac:dyDescent="0.2">
      <c r="A68" s="6" t="str">
        <f t="shared" si="0"/>
        <v>3- Baseline Portfolio&amp;2030</v>
      </c>
      <c r="B68" s="6" t="str">
        <f>'Scenario List'!$A$5</f>
        <v>3- Baseline Portfolio</v>
      </c>
      <c r="C68" s="2">
        <v>2030</v>
      </c>
      <c r="D68" s="8">
        <v>788.54018016877046</v>
      </c>
      <c r="E68" s="8">
        <v>375.04209687459297</v>
      </c>
      <c r="F68" s="8">
        <v>1163.5822770433633</v>
      </c>
      <c r="G68" s="8">
        <v>212.23226181708935</v>
      </c>
      <c r="H68" s="8">
        <v>129.57628903208945</v>
      </c>
      <c r="I68" s="8">
        <v>341.8085508491788</v>
      </c>
      <c r="J68" s="12">
        <v>0.13265834347180819</v>
      </c>
      <c r="K68" s="12">
        <v>0.11859328115315164</v>
      </c>
      <c r="L68" s="8">
        <v>12.506160221478861</v>
      </c>
      <c r="M68" s="8">
        <v>9.0434865139901799</v>
      </c>
      <c r="N68" s="8">
        <v>21.281654575058809</v>
      </c>
      <c r="O68" s="8">
        <v>16.412316749026573</v>
      </c>
      <c r="P68" s="15">
        <v>1.4546205029814656</v>
      </c>
      <c r="Q68" s="15">
        <v>1.4482233725931652</v>
      </c>
      <c r="R68" s="8">
        <v>18.031075523875149</v>
      </c>
      <c r="S68" s="8">
        <v>0</v>
      </c>
      <c r="T68" s="8">
        <v>26.765008392180217</v>
      </c>
      <c r="U68" s="8">
        <v>0</v>
      </c>
      <c r="V68" s="8">
        <v>658.82766557142463</v>
      </c>
      <c r="W68" s="8">
        <v>0</v>
      </c>
      <c r="X68" s="8">
        <v>5944.1431238461582</v>
      </c>
      <c r="Y68" s="8">
        <v>3553.6844433251467</v>
      </c>
    </row>
    <row r="69" spans="1:25" x14ac:dyDescent="0.2">
      <c r="A69" s="6" t="str">
        <f t="shared" ref="A69:A132" si="9">B69&amp;"&amp;"&amp;C69</f>
        <v>3- Baseline Portfolio&amp;2031</v>
      </c>
      <c r="B69" s="6" t="str">
        <f>'Scenario List'!$A$5</f>
        <v>3- Baseline Portfolio</v>
      </c>
      <c r="C69" s="2">
        <v>2031</v>
      </c>
      <c r="D69" s="8">
        <v>823.443593078498</v>
      </c>
      <c r="E69" s="8">
        <v>389.77902053754934</v>
      </c>
      <c r="F69" s="8">
        <v>1213.2226136160473</v>
      </c>
      <c r="G69" s="8">
        <v>221.73186163248604</v>
      </c>
      <c r="H69" s="8">
        <v>134.71573395250962</v>
      </c>
      <c r="I69" s="8">
        <v>356.44759558499567</v>
      </c>
      <c r="J69" s="12">
        <v>0.13745095275912411</v>
      </c>
      <c r="K69" s="12">
        <v>0.1223495888100857</v>
      </c>
      <c r="L69" s="8">
        <v>11.232363618900624</v>
      </c>
      <c r="M69" s="8">
        <v>8.2750328842346494</v>
      </c>
      <c r="N69" s="8">
        <v>20.758431237767439</v>
      </c>
      <c r="O69" s="8">
        <v>14.311126025337956</v>
      </c>
      <c r="P69" s="15">
        <v>1.3695722653342044</v>
      </c>
      <c r="Q69" s="15">
        <v>1.3178533229172604</v>
      </c>
      <c r="R69" s="8">
        <v>17.397177885818842</v>
      </c>
      <c r="S69" s="8">
        <v>0.31713452419423011</v>
      </c>
      <c r="T69" s="8">
        <v>26.023818365326235</v>
      </c>
      <c r="U69" s="8">
        <v>0.31713452419423016</v>
      </c>
      <c r="V69" s="8">
        <v>657.3298700493707</v>
      </c>
      <c r="W69" s="8">
        <v>0</v>
      </c>
      <c r="X69" s="8">
        <v>5990.8176447604656</v>
      </c>
      <c r="Y69" s="8">
        <v>3577.0113331509606</v>
      </c>
    </row>
    <row r="70" spans="1:25" x14ac:dyDescent="0.2">
      <c r="A70" s="6" t="str">
        <f t="shared" si="9"/>
        <v>3- Baseline Portfolio&amp;2032</v>
      </c>
      <c r="B70" s="6" t="str">
        <f>'Scenario List'!$A$5</f>
        <v>3- Baseline Portfolio</v>
      </c>
      <c r="C70" s="2">
        <v>2032</v>
      </c>
      <c r="D70" s="8">
        <v>857.4064048718094</v>
      </c>
      <c r="E70" s="8">
        <v>403.25428780321056</v>
      </c>
      <c r="F70" s="8">
        <v>1260.6606926750201</v>
      </c>
      <c r="G70" s="8">
        <v>230.1127406580417</v>
      </c>
      <c r="H70" s="8">
        <v>138.26711810119602</v>
      </c>
      <c r="I70" s="8">
        <v>368.37985875923772</v>
      </c>
      <c r="J70" s="12">
        <v>0.14190450215767958</v>
      </c>
      <c r="K70" s="12">
        <v>0.12567068399193898</v>
      </c>
      <c r="L70" s="8">
        <v>9.6407536337042057</v>
      </c>
      <c r="M70" s="8">
        <v>8.1190625442781119</v>
      </c>
      <c r="N70" s="8">
        <v>17.694617434838037</v>
      </c>
      <c r="O70" s="8">
        <v>15.203069942415979</v>
      </c>
      <c r="P70" s="15">
        <v>1.2039883781215441</v>
      </c>
      <c r="Q70" s="15">
        <v>1.2400831169937785</v>
      </c>
      <c r="R70" s="8">
        <v>58.046550665576987</v>
      </c>
      <c r="S70" s="8">
        <v>9.8838054366274211</v>
      </c>
      <c r="T70" s="8">
        <v>57.499999604746733</v>
      </c>
      <c r="U70" s="8">
        <v>7.9222098788052149</v>
      </c>
      <c r="V70" s="8">
        <v>1337.5562568709718</v>
      </c>
      <c r="W70" s="8">
        <v>147.56725374745008</v>
      </c>
      <c r="X70" s="8">
        <v>6042.1367316386331</v>
      </c>
      <c r="Y70" s="8">
        <v>3600.7603290491734</v>
      </c>
    </row>
    <row r="71" spans="1:25" x14ac:dyDescent="0.2">
      <c r="A71" s="6" t="str">
        <f t="shared" si="9"/>
        <v>3- Baseline Portfolio&amp;2033</v>
      </c>
      <c r="B71" s="6" t="str">
        <f>'Scenario List'!$A$5</f>
        <v>3- Baseline Portfolio</v>
      </c>
      <c r="C71" s="2">
        <v>2033</v>
      </c>
      <c r="D71" s="8">
        <v>883.55404151850553</v>
      </c>
      <c r="E71" s="8">
        <v>414.63511144919607</v>
      </c>
      <c r="F71" s="8">
        <v>1298.1891529677016</v>
      </c>
      <c r="G71" s="8">
        <v>230.05157952713901</v>
      </c>
      <c r="H71" s="8">
        <v>139.29434101676941</v>
      </c>
      <c r="I71" s="8">
        <v>369.34592054390839</v>
      </c>
      <c r="J71" s="12">
        <v>0.14511697391263004</v>
      </c>
      <c r="K71" s="12">
        <v>0.12812061526293231</v>
      </c>
      <c r="L71" s="8">
        <v>9.8887805302919336</v>
      </c>
      <c r="M71" s="8">
        <v>8.0843488185594836</v>
      </c>
      <c r="N71" s="8">
        <v>16.27994181791874</v>
      </c>
      <c r="O71" s="8">
        <v>14.466856939426506</v>
      </c>
      <c r="P71" s="15">
        <v>1.1857179303986909</v>
      </c>
      <c r="Q71" s="15">
        <v>1.2104176768359198</v>
      </c>
      <c r="R71" s="8">
        <v>57.296016260760936</v>
      </c>
      <c r="S71" s="8">
        <v>11.020279226674818</v>
      </c>
      <c r="T71" s="8">
        <v>56.760075327267458</v>
      </c>
      <c r="U71" s="8">
        <v>9.0817824488330263</v>
      </c>
      <c r="V71" s="8">
        <v>1331.7801094944118</v>
      </c>
      <c r="W71" s="8">
        <v>146.96948790074327</v>
      </c>
      <c r="X71" s="8">
        <v>6088.5644021936623</v>
      </c>
      <c r="Y71" s="8">
        <v>3626.6975182318206</v>
      </c>
    </row>
    <row r="72" spans="1:25" x14ac:dyDescent="0.2">
      <c r="A72" s="6" t="str">
        <f t="shared" si="9"/>
        <v>3- Baseline Portfolio&amp;2034</v>
      </c>
      <c r="B72" s="6" t="str">
        <f>'Scenario List'!$A$5</f>
        <v>3- Baseline Portfolio</v>
      </c>
      <c r="C72" s="2">
        <v>2034</v>
      </c>
      <c r="D72" s="8">
        <v>894.66025062863309</v>
      </c>
      <c r="E72" s="8">
        <v>417.32886427153278</v>
      </c>
      <c r="F72" s="8">
        <v>1311.989114900166</v>
      </c>
      <c r="G72" s="8">
        <v>214.33337297477078</v>
      </c>
      <c r="H72" s="8">
        <v>131.22054817261889</v>
      </c>
      <c r="I72" s="8">
        <v>345.5539211473897</v>
      </c>
      <c r="J72" s="12">
        <v>0.1457178584405408</v>
      </c>
      <c r="K72" s="12">
        <v>0.12785837301257208</v>
      </c>
      <c r="L72" s="8">
        <v>10.432283620188471</v>
      </c>
      <c r="M72" s="8">
        <v>9.3789632634715705</v>
      </c>
      <c r="N72" s="8">
        <v>18.973062519422157</v>
      </c>
      <c r="O72" s="8">
        <v>17.133358518782046</v>
      </c>
      <c r="P72" s="15">
        <v>1.2617774208297183</v>
      </c>
      <c r="Q72" s="15">
        <v>1.1830499255774227</v>
      </c>
      <c r="R72" s="8">
        <v>56.452708393397991</v>
      </c>
      <c r="S72" s="8">
        <v>11.443342272310181</v>
      </c>
      <c r="T72" s="8">
        <v>55.923351250262868</v>
      </c>
      <c r="U72" s="8">
        <v>9.528659044802172</v>
      </c>
      <c r="V72" s="8">
        <v>1329.1241956361016</v>
      </c>
      <c r="W72" s="8">
        <v>146.87776659670004</v>
      </c>
      <c r="X72" s="8">
        <v>6139.6747125109123</v>
      </c>
      <c r="Y72" s="8">
        <v>3653.4639178131342</v>
      </c>
    </row>
    <row r="73" spans="1:25" x14ac:dyDescent="0.2">
      <c r="A73" s="6" t="str">
        <f t="shared" si="9"/>
        <v>3- Baseline Portfolio&amp;2035</v>
      </c>
      <c r="B73" s="6" t="str">
        <f>'Scenario List'!$A$5</f>
        <v>3- Baseline Portfolio</v>
      </c>
      <c r="C73" s="2">
        <v>2035</v>
      </c>
      <c r="D73" s="8">
        <v>928.02134302736351</v>
      </c>
      <c r="E73" s="8">
        <v>433.50196538053279</v>
      </c>
      <c r="F73" s="8">
        <v>1361.5233084078964</v>
      </c>
      <c r="G73" s="8">
        <v>220.14129157801489</v>
      </c>
      <c r="H73" s="8">
        <v>136.32015721290929</v>
      </c>
      <c r="I73" s="8">
        <v>356.46144879092418</v>
      </c>
      <c r="J73" s="12">
        <v>0.14986006731860216</v>
      </c>
      <c r="K73" s="12">
        <v>0.1317594250144036</v>
      </c>
      <c r="L73" s="8">
        <v>11.569609841901149</v>
      </c>
      <c r="M73" s="8">
        <v>10.155555964991207</v>
      </c>
      <c r="N73" s="8">
        <v>20.086693759621298</v>
      </c>
      <c r="O73" s="8">
        <v>18.596303141131159</v>
      </c>
      <c r="P73" s="15">
        <v>1.2842921136706915</v>
      </c>
      <c r="Q73" s="15">
        <v>1.1896231585258008</v>
      </c>
      <c r="R73" s="8">
        <v>58.877720040415014</v>
      </c>
      <c r="S73" s="8">
        <v>13.323002766319172</v>
      </c>
      <c r="T73" s="8">
        <v>58.175489217899923</v>
      </c>
      <c r="U73" s="8">
        <v>11.33268206239978</v>
      </c>
      <c r="V73" s="8">
        <v>1343.8603456811659</v>
      </c>
      <c r="W73" s="8">
        <v>150.42059679111438</v>
      </c>
      <c r="X73" s="8">
        <v>6192.5859212006908</v>
      </c>
      <c r="Y73" s="8">
        <v>3681.4346982213524</v>
      </c>
    </row>
    <row r="74" spans="1:25" x14ac:dyDescent="0.2">
      <c r="A74" s="6" t="str">
        <f t="shared" si="9"/>
        <v>3- Baseline Portfolio&amp;2036</v>
      </c>
      <c r="B74" s="6" t="str">
        <f>'Scenario List'!$A$5</f>
        <v>3- Baseline Portfolio</v>
      </c>
      <c r="C74" s="2">
        <v>2036</v>
      </c>
      <c r="D74" s="8">
        <v>966.04496104048712</v>
      </c>
      <c r="E74" s="8">
        <v>451.6866053815595</v>
      </c>
      <c r="F74" s="8">
        <v>1417.7315664220466</v>
      </c>
      <c r="G74" s="8">
        <v>230.38419507460745</v>
      </c>
      <c r="H74" s="8">
        <v>142.94428798901845</v>
      </c>
      <c r="I74" s="8">
        <v>373.32848306362587</v>
      </c>
      <c r="J74" s="12">
        <v>0.15454805128429888</v>
      </c>
      <c r="K74" s="12">
        <v>0.13612535711760693</v>
      </c>
      <c r="L74" s="8">
        <v>12.857096083232323</v>
      </c>
      <c r="M74" s="8">
        <v>10.201885817278461</v>
      </c>
      <c r="N74" s="8">
        <v>22.682855290699806</v>
      </c>
      <c r="O74" s="8">
        <v>18.170207574212455</v>
      </c>
      <c r="P74" s="15">
        <v>1.3634147510583738</v>
      </c>
      <c r="Q74" s="15">
        <v>1.3073957565809953</v>
      </c>
      <c r="R74" s="8">
        <v>130.22660285502769</v>
      </c>
      <c r="S74" s="8">
        <v>52.89745301851692</v>
      </c>
      <c r="T74" s="8">
        <v>125.4438850967241</v>
      </c>
      <c r="U74" s="8">
        <v>48.67417832848453</v>
      </c>
      <c r="V74" s="8">
        <v>1516.2094134669676</v>
      </c>
      <c r="W74" s="8">
        <v>243.9481202019999</v>
      </c>
      <c r="X74" s="8">
        <v>6250.7741314925997</v>
      </c>
      <c r="Y74" s="8">
        <v>3710.3811123399173</v>
      </c>
    </row>
    <row r="75" spans="1:25" x14ac:dyDescent="0.2">
      <c r="A75" s="6" t="str">
        <f t="shared" si="9"/>
        <v>3- Baseline Portfolio&amp;2037</v>
      </c>
      <c r="B75" s="6" t="str">
        <f>'Scenario List'!$A$5</f>
        <v>3- Baseline Portfolio</v>
      </c>
      <c r="C75" s="2">
        <v>2037</v>
      </c>
      <c r="D75" s="8">
        <v>999.81922068893323</v>
      </c>
      <c r="E75" s="8">
        <v>467.7836011843923</v>
      </c>
      <c r="F75" s="8">
        <v>1467.6028218733254</v>
      </c>
      <c r="G75" s="8">
        <v>235.05221394820404</v>
      </c>
      <c r="H75" s="8">
        <v>146.97113042205714</v>
      </c>
      <c r="I75" s="8">
        <v>382.02334437026116</v>
      </c>
      <c r="J75" s="12">
        <v>0.15857536151898075</v>
      </c>
      <c r="K75" s="12">
        <v>0.139637814962177</v>
      </c>
      <c r="L75" s="8">
        <v>13.854838179329453</v>
      </c>
      <c r="M75" s="8">
        <v>11.203100040175142</v>
      </c>
      <c r="N75" s="8">
        <v>23.235984071181235</v>
      </c>
      <c r="O75" s="8">
        <v>19.541341344066936</v>
      </c>
      <c r="P75" s="15">
        <v>1.3693178572537175</v>
      </c>
      <c r="Q75" s="15">
        <v>1.2759176185157979</v>
      </c>
      <c r="R75" s="8">
        <v>129.47249252392385</v>
      </c>
      <c r="S75" s="8">
        <v>52.639860056497682</v>
      </c>
      <c r="T75" s="8">
        <v>124.68819488832558</v>
      </c>
      <c r="U75" s="8">
        <v>48.432114223879424</v>
      </c>
      <c r="V75" s="8">
        <v>1511.7555450207294</v>
      </c>
      <c r="W75" s="8">
        <v>240.14127737646103</v>
      </c>
      <c r="X75" s="8">
        <v>6305.0098773967447</v>
      </c>
      <c r="Y75" s="8">
        <v>3741.6898918906923</v>
      </c>
    </row>
    <row r="76" spans="1:25" x14ac:dyDescent="0.2">
      <c r="A76" s="6" t="str">
        <f t="shared" si="9"/>
        <v>3- Baseline Portfolio&amp;2038</v>
      </c>
      <c r="B76" s="6" t="str">
        <f>'Scenario List'!$A$5</f>
        <v>3- Baseline Portfolio</v>
      </c>
      <c r="C76" s="2">
        <v>2038</v>
      </c>
      <c r="D76" s="8">
        <v>1039.4224962764747</v>
      </c>
      <c r="E76" s="8">
        <v>486.91043250381301</v>
      </c>
      <c r="F76" s="8">
        <v>1526.3329287802876</v>
      </c>
      <c r="G76" s="8">
        <v>245.17207372234733</v>
      </c>
      <c r="H76" s="8">
        <v>153.58258287570519</v>
      </c>
      <c r="I76" s="8">
        <v>398.75465659805252</v>
      </c>
      <c r="J76" s="12">
        <v>0.16329970644485117</v>
      </c>
      <c r="K76" s="12">
        <v>0.14392081158551023</v>
      </c>
      <c r="L76" s="8">
        <v>16.330402477913822</v>
      </c>
      <c r="M76" s="8">
        <v>13.17413677230916</v>
      </c>
      <c r="N76" s="8">
        <v>29.855452907002245</v>
      </c>
      <c r="O76" s="8">
        <v>23.845746291895168</v>
      </c>
      <c r="P76" s="15">
        <v>1.4072767299374049</v>
      </c>
      <c r="Q76" s="15">
        <v>1.3348615636393997</v>
      </c>
      <c r="R76" s="8">
        <v>186.03511333048326</v>
      </c>
      <c r="S76" s="8">
        <v>84.074972906626684</v>
      </c>
      <c r="T76" s="8">
        <v>178.00635475948641</v>
      </c>
      <c r="U76" s="8">
        <v>78.092906055123763</v>
      </c>
      <c r="V76" s="8">
        <v>1637.9068967968644</v>
      </c>
      <c r="W76" s="8">
        <v>311.56548422241144</v>
      </c>
      <c r="X76" s="8">
        <v>6365.1216459933057</v>
      </c>
      <c r="Y76" s="8">
        <v>3774.353803650557</v>
      </c>
    </row>
    <row r="77" spans="1:25" x14ac:dyDescent="0.2">
      <c r="A77" s="6" t="str">
        <f t="shared" si="9"/>
        <v>3- Baseline Portfolio&amp;2039</v>
      </c>
      <c r="B77" s="6" t="str">
        <f>'Scenario List'!$A$5</f>
        <v>3- Baseline Portfolio</v>
      </c>
      <c r="C77" s="2">
        <v>2039</v>
      </c>
      <c r="D77" s="8">
        <v>1084.9347466448473</v>
      </c>
      <c r="E77" s="8">
        <v>508.97815438019973</v>
      </c>
      <c r="F77" s="8">
        <v>1593.9129010250472</v>
      </c>
      <c r="G77" s="8">
        <v>259.8361570339531</v>
      </c>
      <c r="H77" s="8">
        <v>162.66162991826323</v>
      </c>
      <c r="I77" s="8">
        <v>422.4977869522163</v>
      </c>
      <c r="J77" s="12">
        <v>0.1687703864076861</v>
      </c>
      <c r="K77" s="12">
        <v>0.14895825208906391</v>
      </c>
      <c r="L77" s="8">
        <v>16.203998458643735</v>
      </c>
      <c r="M77" s="8">
        <v>12.995503068329546</v>
      </c>
      <c r="N77" s="8">
        <v>27.283413447395546</v>
      </c>
      <c r="O77" s="8">
        <v>23.878958719642625</v>
      </c>
      <c r="P77" s="15">
        <v>1.4396412602834723</v>
      </c>
      <c r="Q77" s="15">
        <v>1.3211567597516327</v>
      </c>
      <c r="R77" s="8">
        <v>185.30966984234175</v>
      </c>
      <c r="S77" s="8">
        <v>83.843394478987605</v>
      </c>
      <c r="T77" s="8">
        <v>177.28710048166238</v>
      </c>
      <c r="U77" s="8">
        <v>77.883713982972651</v>
      </c>
      <c r="V77" s="8">
        <v>1636.8173843624963</v>
      </c>
      <c r="W77" s="8">
        <v>310.58715845486893</v>
      </c>
      <c r="X77" s="8">
        <v>6428.4663307225646</v>
      </c>
      <c r="Y77" s="8">
        <v>3808.6604994833697</v>
      </c>
    </row>
    <row r="78" spans="1:25" x14ac:dyDescent="0.2">
      <c r="A78" s="6" t="str">
        <f t="shared" si="9"/>
        <v>3- Baseline Portfolio&amp;2040</v>
      </c>
      <c r="B78" s="6" t="str">
        <f>'Scenario List'!$A$5</f>
        <v>3- Baseline Portfolio</v>
      </c>
      <c r="C78" s="2">
        <v>2040</v>
      </c>
      <c r="D78" s="8">
        <v>1123.465272017178</v>
      </c>
      <c r="E78" s="8">
        <v>524.75080191358859</v>
      </c>
      <c r="F78" s="8">
        <v>1648.2160739307665</v>
      </c>
      <c r="G78" s="8">
        <v>266.6437646731485</v>
      </c>
      <c r="H78" s="8">
        <v>165.0287457707347</v>
      </c>
      <c r="I78" s="8">
        <v>431.6725104438832</v>
      </c>
      <c r="J78" s="12">
        <v>0.17287069919149931</v>
      </c>
      <c r="K78" s="12">
        <v>0.15202215203096095</v>
      </c>
      <c r="L78" s="8">
        <v>18.267695653842395</v>
      </c>
      <c r="M78" s="8">
        <v>14.508157860585031</v>
      </c>
      <c r="N78" s="8">
        <v>35.09876698278002</v>
      </c>
      <c r="O78" s="8">
        <v>28.598117774905234</v>
      </c>
      <c r="P78" s="15">
        <v>1.5477404503780512</v>
      </c>
      <c r="Q78" s="15">
        <v>1.420261838738416</v>
      </c>
      <c r="R78" s="8">
        <v>273.21870994708229</v>
      </c>
      <c r="S78" s="8">
        <v>84.326965467645735</v>
      </c>
      <c r="T78" s="8">
        <v>260.20555784331259</v>
      </c>
      <c r="U78" s="8">
        <v>78.401677516587071</v>
      </c>
      <c r="V78" s="8">
        <v>1856.9929200119286</v>
      </c>
      <c r="W78" s="8">
        <v>317.447184825779</v>
      </c>
      <c r="X78" s="8">
        <v>6498.8761963220131</v>
      </c>
      <c r="Y78" s="8">
        <v>3844.8727782553551</v>
      </c>
    </row>
    <row r="79" spans="1:25" x14ac:dyDescent="0.2">
      <c r="A79" s="6" t="str">
        <f t="shared" si="9"/>
        <v>3- Baseline Portfolio&amp;2041</v>
      </c>
      <c r="B79" s="6" t="str">
        <f>'Scenario List'!$A$5</f>
        <v>3- Baseline Portfolio</v>
      </c>
      <c r="C79" s="2">
        <v>2041</v>
      </c>
      <c r="D79" s="8">
        <v>1140.7919949645225</v>
      </c>
      <c r="E79" s="8">
        <v>542.15662959022416</v>
      </c>
      <c r="F79" s="8">
        <v>1682.9486245547466</v>
      </c>
      <c r="G79" s="8">
        <v>250.79318236395454</v>
      </c>
      <c r="H79" s="8">
        <v>168.38736171598731</v>
      </c>
      <c r="I79" s="8">
        <v>419.18054407994185</v>
      </c>
      <c r="J79" s="12">
        <v>0.17371256999468601</v>
      </c>
      <c r="K79" s="12">
        <v>0.15524956081119512</v>
      </c>
      <c r="L79" s="8">
        <v>18.820329607063858</v>
      </c>
      <c r="M79" s="8">
        <v>13.912160542489433</v>
      </c>
      <c r="N79" s="8">
        <v>30.559513143272511</v>
      </c>
      <c r="O79" s="8">
        <v>24.23511993779762</v>
      </c>
      <c r="P79" s="15">
        <v>1.7092416315374046</v>
      </c>
      <c r="Q79" s="15">
        <v>1.3778356375488281</v>
      </c>
      <c r="R79" s="8">
        <v>272.52024399977125</v>
      </c>
      <c r="S79" s="8">
        <v>145.44918856238672</v>
      </c>
      <c r="T79" s="8">
        <v>259.48240699056805</v>
      </c>
      <c r="U79" s="8">
        <v>139.53345913711894</v>
      </c>
      <c r="V79" s="8">
        <v>1842.2688083626842</v>
      </c>
      <c r="W79" s="8">
        <v>-16.080400993547052</v>
      </c>
      <c r="X79" s="8">
        <v>6567.124042891197</v>
      </c>
      <c r="Y79" s="8">
        <v>3884.1001915663046</v>
      </c>
    </row>
    <row r="80" spans="1:25" x14ac:dyDescent="0.2">
      <c r="A80" s="6" t="str">
        <f t="shared" si="9"/>
        <v>3- Baseline Portfolio&amp;2042</v>
      </c>
      <c r="B80" s="6" t="str">
        <f>'Scenario List'!$A$5</f>
        <v>3- Baseline Portfolio</v>
      </c>
      <c r="C80" s="2">
        <v>2042</v>
      </c>
      <c r="D80" s="8">
        <v>1209.4680942377133</v>
      </c>
      <c r="E80" s="8">
        <v>574.7064234602517</v>
      </c>
      <c r="F80" s="8">
        <v>1784.174517697965</v>
      </c>
      <c r="G80" s="8">
        <v>283.13668223695515</v>
      </c>
      <c r="H80" s="8">
        <v>186.39580319268762</v>
      </c>
      <c r="I80" s="8">
        <v>469.53248542964275</v>
      </c>
      <c r="J80" s="12">
        <v>0.18204958812009789</v>
      </c>
      <c r="K80" s="12">
        <v>0.16261904917002945</v>
      </c>
      <c r="L80" s="8">
        <v>26.549767658265448</v>
      </c>
      <c r="M80" s="8">
        <v>18.988068696540058</v>
      </c>
      <c r="N80" s="8">
        <v>47.160093498306423</v>
      </c>
      <c r="O80" s="8">
        <v>36.220839398242646</v>
      </c>
      <c r="P80" s="15">
        <v>1.5999475775651608</v>
      </c>
      <c r="Q80" s="15">
        <v>1.3826615744711304</v>
      </c>
      <c r="R80" s="8">
        <v>482.18976612523994</v>
      </c>
      <c r="S80" s="8">
        <v>234.76170100644845</v>
      </c>
      <c r="T80" s="8">
        <v>457.52410627781245</v>
      </c>
      <c r="U80" s="8">
        <v>223.78922501624078</v>
      </c>
      <c r="V80" s="8">
        <v>2253.0204558306468</v>
      </c>
      <c r="W80" s="8">
        <v>194.81490919650878</v>
      </c>
      <c r="X80" s="8">
        <v>6643.6189541930125</v>
      </c>
      <c r="Y80" s="8">
        <v>3925.6346422238694</v>
      </c>
    </row>
    <row r="81" spans="1:25" x14ac:dyDescent="0.2">
      <c r="A81" s="6" t="str">
        <f t="shared" si="9"/>
        <v>3- Baseline Portfolio&amp;2043</v>
      </c>
      <c r="B81" s="6" t="str">
        <f>'Scenario List'!$A$5</f>
        <v>3- Baseline Portfolio</v>
      </c>
      <c r="C81" s="2">
        <v>2043</v>
      </c>
      <c r="D81" s="8">
        <v>1271.1529684882403</v>
      </c>
      <c r="E81" s="8">
        <v>605.17215502603335</v>
      </c>
      <c r="F81" s="8">
        <v>1876.3251235142736</v>
      </c>
      <c r="G81" s="8">
        <v>309.91597435934261</v>
      </c>
      <c r="H81" s="8">
        <v>201.77891492527189</v>
      </c>
      <c r="I81" s="8">
        <v>511.69488928461453</v>
      </c>
      <c r="J81" s="12">
        <v>0.18899633753950995</v>
      </c>
      <c r="K81" s="12">
        <v>0.16912195080203291</v>
      </c>
      <c r="L81" s="8">
        <v>27.790417473609331</v>
      </c>
      <c r="M81" s="8">
        <v>19.20622878128632</v>
      </c>
      <c r="N81" s="8">
        <v>60.165257742289853</v>
      </c>
      <c r="O81" s="8">
        <v>35.463547757440082</v>
      </c>
      <c r="P81" s="15">
        <v>1.7869394833143288</v>
      </c>
      <c r="Q81" s="15">
        <v>1.3942089653785197</v>
      </c>
      <c r="R81" s="8">
        <v>523.90602427057058</v>
      </c>
      <c r="S81" s="8">
        <v>258.2000067443829</v>
      </c>
      <c r="T81" s="8">
        <v>499.24625506526621</v>
      </c>
      <c r="U81" s="8">
        <v>247.24883718938347</v>
      </c>
      <c r="V81" s="8">
        <v>2106.8906914105041</v>
      </c>
      <c r="W81" s="8">
        <v>76.083648632604721</v>
      </c>
      <c r="X81" s="8">
        <v>6725.8074153024472</v>
      </c>
      <c r="Y81" s="8">
        <v>3969.9415138161808</v>
      </c>
    </row>
    <row r="82" spans="1:25" x14ac:dyDescent="0.2">
      <c r="A82" s="6" t="str">
        <f t="shared" si="9"/>
        <v>3- Baseline Portfolio&amp;2044</v>
      </c>
      <c r="B82" s="6" t="str">
        <f>'Scenario List'!$A$5</f>
        <v>3- Baseline Portfolio</v>
      </c>
      <c r="C82" s="2">
        <v>2044</v>
      </c>
      <c r="D82" s="8">
        <v>1321.5250263744977</v>
      </c>
      <c r="E82" s="8">
        <v>633.67769627806319</v>
      </c>
      <c r="F82" s="8">
        <v>1955.2027226525609</v>
      </c>
      <c r="G82" s="8">
        <v>324.35415746006339</v>
      </c>
      <c r="H82" s="8">
        <v>214.72833736111525</v>
      </c>
      <c r="I82" s="8">
        <v>539.08249482117867</v>
      </c>
      <c r="J82" s="12">
        <v>0.19382981787551312</v>
      </c>
      <c r="K82" s="12">
        <v>0.17480942954375001</v>
      </c>
      <c r="L82" s="8">
        <v>33.049482316790019</v>
      </c>
      <c r="M82" s="8">
        <v>23.262003022611019</v>
      </c>
      <c r="N82" s="8">
        <v>55.028557659210946</v>
      </c>
      <c r="O82" s="8">
        <v>41.66177272610912</v>
      </c>
      <c r="P82" s="15">
        <v>1.9752675544644924</v>
      </c>
      <c r="Q82" s="15">
        <v>1.5533650917766317</v>
      </c>
      <c r="R82" s="8">
        <v>560.56558361400369</v>
      </c>
      <c r="S82" s="8">
        <v>278.82949061804851</v>
      </c>
      <c r="T82" s="8">
        <v>535.97431434133034</v>
      </c>
      <c r="U82" s="8">
        <v>267.92547796329961</v>
      </c>
      <c r="V82" s="8">
        <v>2071.9392519148387</v>
      </c>
      <c r="W82" s="8">
        <v>44.018474239999399</v>
      </c>
      <c r="X82" s="8">
        <v>6817.9655785635878</v>
      </c>
      <c r="Y82" s="8">
        <v>4017.9528484043276</v>
      </c>
    </row>
    <row r="83" spans="1:25" x14ac:dyDescent="0.2">
      <c r="A83" s="6" t="str">
        <f t="shared" si="9"/>
        <v>3- Baseline Portfolio&amp;2045</v>
      </c>
      <c r="B83" s="6" t="str">
        <f>'Scenario List'!$A$5</f>
        <v>3- Baseline Portfolio</v>
      </c>
      <c r="C83" s="2">
        <v>2045</v>
      </c>
      <c r="D83" s="8">
        <v>1414.175545673055</v>
      </c>
      <c r="E83" s="8">
        <v>676.47005483656039</v>
      </c>
      <c r="F83" s="8">
        <v>2090.6456005096152</v>
      </c>
      <c r="G83" s="8">
        <v>377.08715418053868</v>
      </c>
      <c r="H83" s="8">
        <v>241.14352491067689</v>
      </c>
      <c r="I83" s="8">
        <v>618.23067909121551</v>
      </c>
      <c r="J83" s="12">
        <v>0.2046221874849706</v>
      </c>
      <c r="K83" s="12">
        <v>0.18389149084065629</v>
      </c>
      <c r="L83" s="8">
        <v>29.515323307428446</v>
      </c>
      <c r="M83" s="8">
        <v>20.940929057280577</v>
      </c>
      <c r="N83" s="8">
        <v>55.804920737589043</v>
      </c>
      <c r="O83" s="8">
        <v>40.595262183899536</v>
      </c>
      <c r="P83" s="15">
        <v>2.1722212896917545</v>
      </c>
      <c r="Q83" s="15">
        <v>1.2694291321730551</v>
      </c>
      <c r="R83" s="8">
        <v>710.8381528968024</v>
      </c>
      <c r="S83" s="8">
        <v>342.64704152427754</v>
      </c>
      <c r="T83" s="8">
        <v>686.36932536400286</v>
      </c>
      <c r="U83" s="8">
        <v>331.8368613236035</v>
      </c>
      <c r="V83" s="8">
        <v>1231.6349034849557</v>
      </c>
      <c r="W83" s="8">
        <v>-311.79595319301029</v>
      </c>
      <c r="X83" s="8">
        <v>6911.1544698784219</v>
      </c>
      <c r="Y83" s="8">
        <v>4070.4274226173325</v>
      </c>
    </row>
    <row r="84" spans="1:25" x14ac:dyDescent="0.2">
      <c r="A84" s="6" t="str">
        <f t="shared" si="9"/>
        <v>3- Baseline Portfolio&amp;NPV</v>
      </c>
      <c r="B84" s="6" t="str">
        <f>'Scenario List'!$A$5</f>
        <v>3- Baseline Portfolio</v>
      </c>
      <c r="C84" s="3" t="s">
        <v>6</v>
      </c>
      <c r="D84" s="16">
        <f t="shared" ref="D84:I84" si="10">NPV($B$1,D60:D83)</f>
        <v>10053.422170745909</v>
      </c>
      <c r="E84" s="16">
        <f t="shared" si="10"/>
        <v>4793.1215211129083</v>
      </c>
      <c r="F84" s="16">
        <f t="shared" si="10"/>
        <v>14846.54369185882</v>
      </c>
      <c r="G84" s="16">
        <f t="shared" si="10"/>
        <v>2763.2469286852652</v>
      </c>
      <c r="H84" s="16">
        <f t="shared" si="10"/>
        <v>1662.8300234212943</v>
      </c>
      <c r="I84" s="16">
        <f t="shared" si="10"/>
        <v>4426.0769521065586</v>
      </c>
      <c r="L84" s="52">
        <f t="shared" ref="L84:Q84" si="11">NPV($B$1,L60:L83)</f>
        <v>170.6266555102608</v>
      </c>
      <c r="M84" s="52">
        <f t="shared" si="11"/>
        <v>115.50388596485979</v>
      </c>
      <c r="N84" s="52">
        <f t="shared" si="11"/>
        <v>297.94685072796187</v>
      </c>
      <c r="O84" s="52">
        <f t="shared" si="11"/>
        <v>205.98420503910978</v>
      </c>
      <c r="P84" s="52">
        <f t="shared" si="11"/>
        <v>19.738944669286617</v>
      </c>
      <c r="Q84" s="52">
        <f t="shared" si="11"/>
        <v>19.896665093291212</v>
      </c>
      <c r="X84" s="52">
        <f>-PMT($B$1,22,NPV($B$1,X62:X83))</f>
        <v>6096.5834335329619</v>
      </c>
      <c r="Y84" s="52">
        <f>-PMT($B$1,22,NPV($B$1,Y62:Y83))</f>
        <v>3634.9992377785752</v>
      </c>
    </row>
    <row r="85" spans="1:25" x14ac:dyDescent="0.2">
      <c r="A85" s="6" t="str">
        <f t="shared" si="9"/>
        <v>3- Baseline Portfolio&amp;Levelized</v>
      </c>
      <c r="B85" s="6" t="str">
        <f>'Scenario List'!$A$5</f>
        <v>3- Baseline Portfolio</v>
      </c>
      <c r="C85" s="3" t="s">
        <v>7</v>
      </c>
      <c r="D85" s="16">
        <f t="shared" ref="D85:I85" si="12">-PMT($B$1,COUNT(D60:D83),D84)</f>
        <v>854.89433859378187</v>
      </c>
      <c r="E85" s="16">
        <f t="shared" si="12"/>
        <v>407.58384388899299</v>
      </c>
      <c r="F85" s="16">
        <f t="shared" si="12"/>
        <v>1262.4781824827751</v>
      </c>
      <c r="G85" s="16">
        <f t="shared" si="12"/>
        <v>234.97313803687808</v>
      </c>
      <c r="H85" s="16">
        <f t="shared" si="12"/>
        <v>141.399013084632</v>
      </c>
      <c r="I85" s="16">
        <f t="shared" si="12"/>
        <v>376.37215112151</v>
      </c>
      <c r="L85" s="52">
        <f t="shared" ref="L85:Q85" si="13">-PMT($B$1,COUNT(L60:L83),L84)</f>
        <v>14.509264540125333</v>
      </c>
      <c r="M85" s="52">
        <f t="shared" si="13"/>
        <v>9.82189114511384</v>
      </c>
      <c r="N85" s="52">
        <f t="shared" si="13"/>
        <v>25.335957404669788</v>
      </c>
      <c r="O85" s="52">
        <f t="shared" si="13"/>
        <v>17.515899336256602</v>
      </c>
      <c r="P85" s="52">
        <f t="shared" si="13"/>
        <v>1.6785042705848119</v>
      </c>
      <c r="Q85" s="52">
        <f t="shared" si="13"/>
        <v>1.6919160516949785</v>
      </c>
    </row>
    <row r="86" spans="1:25" x14ac:dyDescent="0.2">
      <c r="A86" s="6" t="str">
        <f t="shared" si="9"/>
        <v>&amp;</v>
      </c>
    </row>
    <row r="87" spans="1:25" x14ac:dyDescent="0.2">
      <c r="A87" s="6" t="str">
        <f t="shared" si="9"/>
        <v>&amp;</v>
      </c>
    </row>
    <row r="88" spans="1:25" x14ac:dyDescent="0.2">
      <c r="A88" s="6" t="str">
        <f t="shared" si="9"/>
        <v>&amp;</v>
      </c>
    </row>
    <row r="89" spans="1:25" x14ac:dyDescent="0.2">
      <c r="A89" s="6" t="str">
        <f t="shared" si="9"/>
        <v>&amp;</v>
      </c>
    </row>
    <row r="90" spans="1:25" x14ac:dyDescent="0.2">
      <c r="A90" s="6" t="str">
        <f t="shared" si="9"/>
        <v>&amp;</v>
      </c>
    </row>
    <row r="91" spans="1:25" x14ac:dyDescent="0.2">
      <c r="A91" s="6" t="str">
        <f t="shared" si="9"/>
        <v>4- No Resource Additions&amp;2023</v>
      </c>
      <c r="B91" s="6" t="str">
        <f>'Scenario List'!$A$6</f>
        <v>4- No Resource Additions</v>
      </c>
      <c r="C91" s="6">
        <v>2023</v>
      </c>
      <c r="D91" s="8">
        <v>644.35381508278806</v>
      </c>
      <c r="E91" s="8">
        <v>316.40239455462665</v>
      </c>
      <c r="F91" s="8">
        <v>960.75620963741471</v>
      </c>
      <c r="G91" s="8">
        <v>237.08284356041034</v>
      </c>
      <c r="H91" s="8">
        <v>125.83890972954545</v>
      </c>
      <c r="I91" s="8">
        <v>362.9217532899558</v>
      </c>
      <c r="J91" s="12">
        <v>0.11228217775301008</v>
      </c>
      <c r="K91" s="12">
        <v>0.10242299380892764</v>
      </c>
      <c r="L91" s="8">
        <v>16.808400861879495</v>
      </c>
      <c r="M91" s="8">
        <v>9.4395370395143168</v>
      </c>
      <c r="N91" s="8">
        <v>27.712544310744107</v>
      </c>
      <c r="O91" s="8">
        <v>15.74892153057101</v>
      </c>
      <c r="P91" s="15">
        <v>2.5071495936225858</v>
      </c>
      <c r="Q91" s="15">
        <v>2.8792050200375625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5738.700726843661</v>
      </c>
      <c r="Y91" s="8">
        <v>3475.0272683816693</v>
      </c>
    </row>
    <row r="92" spans="1:25" x14ac:dyDescent="0.2">
      <c r="A92" s="6" t="str">
        <f t="shared" si="9"/>
        <v>4- No Resource Additions&amp;2024</v>
      </c>
      <c r="B92" s="6" t="str">
        <f>'Scenario List'!$A$6</f>
        <v>4- No Resource Additions</v>
      </c>
      <c r="C92" s="6">
        <v>2024</v>
      </c>
      <c r="D92" s="8">
        <v>657.52126750811317</v>
      </c>
      <c r="E92" s="8">
        <v>322.0262781898258</v>
      </c>
      <c r="F92" s="8">
        <v>979.54754569793897</v>
      </c>
      <c r="G92" s="8">
        <v>232.01197328211779</v>
      </c>
      <c r="H92" s="8">
        <v>127.05979450314125</v>
      </c>
      <c r="I92" s="8">
        <v>359.07176778525906</v>
      </c>
      <c r="J92" s="12">
        <v>0.11356496644303633</v>
      </c>
      <c r="K92" s="12">
        <v>0.10392256496909974</v>
      </c>
      <c r="L92" s="8">
        <v>13.121846285238981</v>
      </c>
      <c r="M92" s="8">
        <v>7.2914270703604647</v>
      </c>
      <c r="N92" s="8">
        <v>22.188738565964343</v>
      </c>
      <c r="O92" s="8">
        <v>12.611182502166344</v>
      </c>
      <c r="P92" s="15">
        <v>2.4532169693564638</v>
      </c>
      <c r="Q92" s="15">
        <v>2.9672417086309277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5789.824873834862</v>
      </c>
      <c r="Y92" s="8">
        <v>3486.4740129106776</v>
      </c>
    </row>
    <row r="93" spans="1:25" x14ac:dyDescent="0.2">
      <c r="A93" s="6" t="str">
        <f t="shared" si="9"/>
        <v>4- No Resource Additions&amp;2025</v>
      </c>
      <c r="B93" s="6" t="str">
        <f>'Scenario List'!$A$6</f>
        <v>4- No Resource Additions</v>
      </c>
      <c r="C93" s="6">
        <v>2025</v>
      </c>
      <c r="D93" s="8">
        <v>681.11245994322962</v>
      </c>
      <c r="E93" s="8">
        <v>329.72659250990256</v>
      </c>
      <c r="F93" s="8">
        <v>1010.8390524531321</v>
      </c>
      <c r="G93" s="8">
        <v>233.9949052017628</v>
      </c>
      <c r="H93" s="8">
        <v>127.22054938124732</v>
      </c>
      <c r="I93" s="8">
        <v>361.21545458301011</v>
      </c>
      <c r="J93" s="12">
        <v>0.11693326049721739</v>
      </c>
      <c r="K93" s="12">
        <v>0.10610208589460492</v>
      </c>
      <c r="L93" s="8">
        <v>10.318503854270823</v>
      </c>
      <c r="M93" s="8">
        <v>5.6563937497784096</v>
      </c>
      <c r="N93" s="8">
        <v>17.61031924767542</v>
      </c>
      <c r="O93" s="8">
        <v>9.6018397311251249</v>
      </c>
      <c r="P93" s="15">
        <v>2.2677043480366494</v>
      </c>
      <c r="Q93" s="15">
        <v>2.7196586755011132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5824.796615154999</v>
      </c>
      <c r="Y93" s="8">
        <v>3498.6912336044452</v>
      </c>
    </row>
    <row r="94" spans="1:25" x14ac:dyDescent="0.2">
      <c r="A94" s="6" t="str">
        <f t="shared" si="9"/>
        <v>4- No Resource Additions&amp;2026</v>
      </c>
      <c r="B94" s="6" t="str">
        <f>'Scenario List'!$A$6</f>
        <v>4- No Resource Additions</v>
      </c>
      <c r="C94" s="6">
        <v>2026</v>
      </c>
      <c r="D94" s="8">
        <v>690.3557987479594</v>
      </c>
      <c r="E94" s="8">
        <v>339.8088836834113</v>
      </c>
      <c r="F94" s="8">
        <v>1030.1646824313707</v>
      </c>
      <c r="G94" s="8">
        <v>207.97522439724972</v>
      </c>
      <c r="H94" s="8">
        <v>129.39471403084707</v>
      </c>
      <c r="I94" s="8">
        <v>337.36993842809682</v>
      </c>
      <c r="J94" s="12">
        <v>0.1191568879152077</v>
      </c>
      <c r="K94" s="12">
        <v>0.11026743453345345</v>
      </c>
      <c r="L94" s="8">
        <v>13.360028598962918</v>
      </c>
      <c r="M94" s="8">
        <v>7.2074019038641683</v>
      </c>
      <c r="N94" s="8">
        <v>23.121145601557203</v>
      </c>
      <c r="O94" s="8">
        <v>12.583249038356996</v>
      </c>
      <c r="P94" s="15">
        <v>1.3576647038056915</v>
      </c>
      <c r="Q94" s="15">
        <v>1.4922093815351607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5793.6709394358977</v>
      </c>
      <c r="Y94" s="8">
        <v>3474.0383743474008</v>
      </c>
    </row>
    <row r="95" spans="1:25" x14ac:dyDescent="0.2">
      <c r="A95" s="6" t="str">
        <f t="shared" si="9"/>
        <v>4- No Resource Additions&amp;2027</v>
      </c>
      <c r="B95" s="6" t="str">
        <f>'Scenario List'!$A$6</f>
        <v>4- No Resource Additions</v>
      </c>
      <c r="C95" s="6">
        <v>2027</v>
      </c>
      <c r="D95" s="8">
        <v>710.15179905431205</v>
      </c>
      <c r="E95" s="8">
        <v>344.00910846396107</v>
      </c>
      <c r="F95" s="8">
        <v>1054.1609075182732</v>
      </c>
      <c r="G95" s="8">
        <v>207.40736474311515</v>
      </c>
      <c r="H95" s="8">
        <v>125.29908334996318</v>
      </c>
      <c r="I95" s="8">
        <v>332.70644809307834</v>
      </c>
      <c r="J95" s="12">
        <v>0.12176772148638947</v>
      </c>
      <c r="K95" s="12">
        <v>0.11085603299694428</v>
      </c>
      <c r="L95" s="8">
        <v>10.982786573309326</v>
      </c>
      <c r="M95" s="8">
        <v>6.0294448887761076</v>
      </c>
      <c r="N95" s="8">
        <v>16.137850772963674</v>
      </c>
      <c r="O95" s="8">
        <v>8.7681537640558531</v>
      </c>
      <c r="P95" s="15">
        <v>1.532226553384999</v>
      </c>
      <c r="Q95" s="15">
        <v>1.4329042999731518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5832.0200984764997</v>
      </c>
      <c r="Y95" s="8">
        <v>3494.4829570790039</v>
      </c>
    </row>
    <row r="96" spans="1:25" x14ac:dyDescent="0.2">
      <c r="A96" s="6" t="str">
        <f t="shared" si="9"/>
        <v>4- No Resource Additions&amp;2028</v>
      </c>
      <c r="B96" s="6" t="str">
        <f>'Scenario List'!$A$6</f>
        <v>4- No Resource Additions</v>
      </c>
      <c r="C96" s="6">
        <v>2028</v>
      </c>
      <c r="D96" s="8">
        <v>737.00556058933216</v>
      </c>
      <c r="E96" s="8">
        <v>352.7627341802102</v>
      </c>
      <c r="F96" s="8">
        <v>1089.7682947695423</v>
      </c>
      <c r="G96" s="8">
        <v>211.56534016896151</v>
      </c>
      <c r="H96" s="8">
        <v>125.4132069264567</v>
      </c>
      <c r="I96" s="8">
        <v>336.97854709541821</v>
      </c>
      <c r="J96" s="12">
        <v>0.12550765525943827</v>
      </c>
      <c r="K96" s="12">
        <v>0.11292752789138195</v>
      </c>
      <c r="L96" s="8">
        <v>13.204408061697393</v>
      </c>
      <c r="M96" s="8">
        <v>7.2914743731763236</v>
      </c>
      <c r="N96" s="8">
        <v>25.323728320442342</v>
      </c>
      <c r="O96" s="8">
        <v>14.14435283295802</v>
      </c>
      <c r="P96" s="15">
        <v>1.5730832543333055</v>
      </c>
      <c r="Q96" s="15">
        <v>1.4184150619134281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5872.1960749394912</v>
      </c>
      <c r="Y96" s="8">
        <v>3513.3508606421024</v>
      </c>
    </row>
    <row r="97" spans="1:25" x14ac:dyDescent="0.2">
      <c r="A97" s="6" t="str">
        <f t="shared" si="9"/>
        <v>4- No Resource Additions&amp;2029</v>
      </c>
      <c r="B97" s="6" t="str">
        <f>'Scenario List'!$A$6</f>
        <v>4- No Resource Additions</v>
      </c>
      <c r="C97" s="6">
        <v>2029</v>
      </c>
      <c r="D97" s="8">
        <v>762.16335695414818</v>
      </c>
      <c r="E97" s="8">
        <v>363.61117074422299</v>
      </c>
      <c r="F97" s="8">
        <v>1125.7745276983712</v>
      </c>
      <c r="G97" s="8">
        <v>213.18974537738779</v>
      </c>
      <c r="H97" s="8">
        <v>127.26205158182948</v>
      </c>
      <c r="I97" s="8">
        <v>340.45179695921729</v>
      </c>
      <c r="J97" s="12">
        <v>0.12899311306333219</v>
      </c>
      <c r="K97" s="12">
        <v>0.11554167175917324</v>
      </c>
      <c r="L97" s="8">
        <v>14.760602671799175</v>
      </c>
      <c r="M97" s="8">
        <v>8.1956062223735699</v>
      </c>
      <c r="N97" s="8">
        <v>24.079651161569672</v>
      </c>
      <c r="O97" s="8">
        <v>13.40311092700648</v>
      </c>
      <c r="P97" s="15">
        <v>1.5569681058365383</v>
      </c>
      <c r="Q97" s="15">
        <v>1.3845054987276737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5908.5585180035632</v>
      </c>
      <c r="Y97" s="8">
        <v>3534.4216080775113</v>
      </c>
    </row>
    <row r="98" spans="1:25" x14ac:dyDescent="0.2">
      <c r="A98" s="6" t="str">
        <f t="shared" si="9"/>
        <v>4- No Resource Additions&amp;2030</v>
      </c>
      <c r="B98" s="6" t="str">
        <f>'Scenario List'!$A$6</f>
        <v>4- No Resource Additions</v>
      </c>
      <c r="C98" s="6">
        <v>2030</v>
      </c>
      <c r="D98" s="8">
        <v>788.638970869383</v>
      </c>
      <c r="E98" s="8">
        <v>374.82646926296536</v>
      </c>
      <c r="F98" s="8">
        <v>1163.4654401323482</v>
      </c>
      <c r="G98" s="8">
        <v>215.67568932740136</v>
      </c>
      <c r="H98" s="8">
        <v>129.36066142046187</v>
      </c>
      <c r="I98" s="8">
        <v>345.03635074786325</v>
      </c>
      <c r="J98" s="12">
        <v>0.13267496331058853</v>
      </c>
      <c r="K98" s="12">
        <v>0.11852509684482135</v>
      </c>
      <c r="L98" s="8">
        <v>16.174282773311365</v>
      </c>
      <c r="M98" s="8">
        <v>9.0434865139901799</v>
      </c>
      <c r="N98" s="8">
        <v>30.148846908912162</v>
      </c>
      <c r="O98" s="8">
        <v>16.412316749026573</v>
      </c>
      <c r="P98" s="15">
        <v>1.4533807708328605</v>
      </c>
      <c r="Q98" s="15">
        <v>1.4482233725931652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5944.1431238477171</v>
      </c>
      <c r="Y98" s="8">
        <v>3553.6844433251467</v>
      </c>
    </row>
    <row r="99" spans="1:25" x14ac:dyDescent="0.2">
      <c r="A99" s="6" t="str">
        <f t="shared" si="9"/>
        <v>4- No Resource Additions&amp;2031</v>
      </c>
      <c r="B99" s="6" t="str">
        <f>'Scenario List'!$A$6</f>
        <v>4- No Resource Additions</v>
      </c>
      <c r="C99" s="6">
        <v>2031</v>
      </c>
      <c r="D99" s="8">
        <v>822.19614654166196</v>
      </c>
      <c r="E99" s="8">
        <v>389.01725650148046</v>
      </c>
      <c r="F99" s="8">
        <v>1211.2134030431425</v>
      </c>
      <c r="G99" s="8">
        <v>223.82536645769926</v>
      </c>
      <c r="H99" s="8">
        <v>133.93938866089593</v>
      </c>
      <c r="I99" s="8">
        <v>357.76475511859519</v>
      </c>
      <c r="J99" s="12">
        <v>0.13724272633478218</v>
      </c>
      <c r="K99" s="12">
        <v>0.12211047507724598</v>
      </c>
      <c r="L99" s="8">
        <v>14.72213005753345</v>
      </c>
      <c r="M99" s="8">
        <v>8.2750328842346494</v>
      </c>
      <c r="N99" s="8">
        <v>25.140980148158775</v>
      </c>
      <c r="O99" s="8">
        <v>14.311126025337956</v>
      </c>
      <c r="P99" s="15">
        <v>1.368200806092799</v>
      </c>
      <c r="Q99" s="15">
        <v>1.3178533229172604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5990.8176447620472</v>
      </c>
      <c r="Y99" s="8">
        <v>3577.0113331509606</v>
      </c>
    </row>
    <row r="100" spans="1:25" x14ac:dyDescent="0.2">
      <c r="A100" s="6" t="str">
        <f t="shared" si="9"/>
        <v>4- No Resource Additions&amp;2032</v>
      </c>
      <c r="B100" s="6" t="str">
        <f>'Scenario List'!$A$6</f>
        <v>4- No Resource Additions</v>
      </c>
      <c r="C100" s="6">
        <v>2032</v>
      </c>
      <c r="D100" s="8">
        <v>851.7601471798165</v>
      </c>
      <c r="E100" s="8">
        <v>401.27578796695155</v>
      </c>
      <c r="F100" s="8">
        <v>1253.035935146768</v>
      </c>
      <c r="G100" s="8">
        <v>227.80945970483802</v>
      </c>
      <c r="H100" s="8">
        <v>136.24269592818527</v>
      </c>
      <c r="I100" s="8">
        <v>364.05215563302329</v>
      </c>
      <c r="J100" s="12">
        <v>0.1409700218665183</v>
      </c>
      <c r="K100" s="12">
        <v>0.12505410176275772</v>
      </c>
      <c r="L100" s="8">
        <v>16.048734607522775</v>
      </c>
      <c r="M100" s="8">
        <v>9.0098300696393849</v>
      </c>
      <c r="N100" s="8">
        <v>31.471356569728187</v>
      </c>
      <c r="O100" s="8">
        <v>17.756999752437409</v>
      </c>
      <c r="P100" s="15">
        <v>1.2287693671306394</v>
      </c>
      <c r="Q100" s="15">
        <v>1.2400831169937785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6042.1367316402284</v>
      </c>
      <c r="Y100" s="8">
        <v>3600.7603290491734</v>
      </c>
    </row>
    <row r="101" spans="1:25" x14ac:dyDescent="0.2">
      <c r="A101" s="6" t="str">
        <f t="shared" si="9"/>
        <v>4- No Resource Additions&amp;2033</v>
      </c>
      <c r="B101" s="6" t="str">
        <f>'Scenario List'!$A$6</f>
        <v>4- No Resource Additions</v>
      </c>
      <c r="C101" s="6">
        <v>2033</v>
      </c>
      <c r="D101" s="8">
        <v>879.52748927519292</v>
      </c>
      <c r="E101" s="8">
        <v>411.92082778956916</v>
      </c>
      <c r="F101" s="8">
        <v>1291.448317064762</v>
      </c>
      <c r="G101" s="8">
        <v>229.40817215395529</v>
      </c>
      <c r="H101" s="8">
        <v>136.55205350758007</v>
      </c>
      <c r="I101" s="8">
        <v>365.96022566153533</v>
      </c>
      <c r="J101" s="12">
        <v>0.14445564359277899</v>
      </c>
      <c r="K101" s="12">
        <v>0.12728191230974034</v>
      </c>
      <c r="L101" s="8">
        <v>15.845167611049108</v>
      </c>
      <c r="M101" s="8">
        <v>8.9359352093747049</v>
      </c>
      <c r="N101" s="8">
        <v>28.490543223795555</v>
      </c>
      <c r="O101" s="8">
        <v>15.97691783538194</v>
      </c>
      <c r="P101" s="15">
        <v>1.1338152358216591</v>
      </c>
      <c r="Q101" s="15">
        <v>1.2104176768359198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6088.5644021952112</v>
      </c>
      <c r="Y101" s="8">
        <v>3626.6975182318206</v>
      </c>
    </row>
    <row r="102" spans="1:25" x14ac:dyDescent="0.2">
      <c r="A102" s="6" t="str">
        <f t="shared" si="9"/>
        <v>4- No Resource Additions&amp;2034</v>
      </c>
      <c r="B102" s="6" t="str">
        <f>'Scenario List'!$A$6</f>
        <v>4- No Resource Additions</v>
      </c>
      <c r="C102" s="6">
        <v>2034</v>
      </c>
      <c r="D102" s="8">
        <v>890.13740166134244</v>
      </c>
      <c r="E102" s="8">
        <v>415.77904824261685</v>
      </c>
      <c r="F102" s="8">
        <v>1305.9164499039593</v>
      </c>
      <c r="G102" s="8">
        <v>213.20015494085047</v>
      </c>
      <c r="H102" s="8">
        <v>129.52341515160339</v>
      </c>
      <c r="I102" s="8">
        <v>342.72357009245388</v>
      </c>
      <c r="J102" s="12">
        <v>0.14498119906047746</v>
      </c>
      <c r="K102" s="12">
        <v>0.12738355094084242</v>
      </c>
      <c r="L102" s="8">
        <v>18.318588303492309</v>
      </c>
      <c r="M102" s="8">
        <v>10.393793709946527</v>
      </c>
      <c r="N102" s="8">
        <v>32.596469730737056</v>
      </c>
      <c r="O102" s="8">
        <v>18.796437864376756</v>
      </c>
      <c r="P102" s="15">
        <v>1.2125045036559932</v>
      </c>
      <c r="Q102" s="15">
        <v>1.1830499255774227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6139.6747125124166</v>
      </c>
      <c r="Y102" s="8">
        <v>3653.4639178131342</v>
      </c>
    </row>
    <row r="103" spans="1:25" x14ac:dyDescent="0.2">
      <c r="A103" s="6" t="str">
        <f t="shared" si="9"/>
        <v>4- No Resource Additions&amp;2035</v>
      </c>
      <c r="B103" s="6" t="str">
        <f>'Scenario List'!$A$6</f>
        <v>4- No Resource Additions</v>
      </c>
      <c r="C103" s="6">
        <v>2035</v>
      </c>
      <c r="D103" s="8">
        <v>925.02170761972911</v>
      </c>
      <c r="E103" s="8">
        <v>431.88474160505262</v>
      </c>
      <c r="F103" s="8">
        <v>1356.9064492247817</v>
      </c>
      <c r="G103" s="8">
        <v>220.57856505441228</v>
      </c>
      <c r="H103" s="8">
        <v>134.52629046454615</v>
      </c>
      <c r="I103" s="8">
        <v>355.1048555189584</v>
      </c>
      <c r="J103" s="12">
        <v>0.14937567591151918</v>
      </c>
      <c r="K103" s="12">
        <v>0.13126788289511968</v>
      </c>
      <c r="L103" s="8">
        <v>19.750987197181697</v>
      </c>
      <c r="M103" s="8">
        <v>11.216990713918635</v>
      </c>
      <c r="N103" s="8">
        <v>35.779437567440453</v>
      </c>
      <c r="O103" s="8">
        <v>20.43960701296001</v>
      </c>
      <c r="P103" s="15">
        <v>1.2269200756190299</v>
      </c>
      <c r="Q103" s="15">
        <v>1.184735001764377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6192.5859212021523</v>
      </c>
      <c r="Y103" s="8">
        <v>3681.4346982213524</v>
      </c>
    </row>
    <row r="104" spans="1:25" x14ac:dyDescent="0.2">
      <c r="A104" s="6" t="str">
        <f t="shared" si="9"/>
        <v>4- No Resource Additions&amp;2036</v>
      </c>
      <c r="B104" s="6" t="str">
        <f>'Scenario List'!$A$6</f>
        <v>4- No Resource Additions</v>
      </c>
      <c r="C104" s="6">
        <v>2036</v>
      </c>
      <c r="D104" s="8">
        <v>954.68233800433632</v>
      </c>
      <c r="E104" s="8">
        <v>445.13485362979469</v>
      </c>
      <c r="F104" s="8">
        <v>1399.8171916341309</v>
      </c>
      <c r="G104" s="8">
        <v>221.73027642954378</v>
      </c>
      <c r="H104" s="8">
        <v>136.21022908120935</v>
      </c>
      <c r="I104" s="8">
        <v>357.94050551075316</v>
      </c>
      <c r="J104" s="12">
        <v>0.15273025675239896</v>
      </c>
      <c r="K104" s="12">
        <v>0.13415084749892672</v>
      </c>
      <c r="L104" s="8">
        <v>19.346773790544631</v>
      </c>
      <c r="M104" s="8">
        <v>10.992456319297704</v>
      </c>
      <c r="N104" s="8">
        <v>34.501182865795812</v>
      </c>
      <c r="O104" s="8">
        <v>19.405399122226171</v>
      </c>
      <c r="P104" s="15">
        <v>1.2323613357427041</v>
      </c>
      <c r="Q104" s="15">
        <v>1.1632062461186194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6250.7741314940267</v>
      </c>
      <c r="Y104" s="8">
        <v>3710.3811123399173</v>
      </c>
    </row>
    <row r="105" spans="1:25" x14ac:dyDescent="0.2">
      <c r="A105" s="6" t="str">
        <f t="shared" si="9"/>
        <v>4- No Resource Additions&amp;2037</v>
      </c>
      <c r="B105" s="6" t="str">
        <f>'Scenario List'!$A$6</f>
        <v>4- No Resource Additions</v>
      </c>
      <c r="C105" s="6">
        <v>2037</v>
      </c>
      <c r="D105" s="8">
        <v>990.57013264556826</v>
      </c>
      <c r="E105" s="8">
        <v>461.50574500847779</v>
      </c>
      <c r="F105" s="8">
        <v>1452.0758776540461</v>
      </c>
      <c r="G105" s="8">
        <v>228.5552421925174</v>
      </c>
      <c r="H105" s="8">
        <v>140.50565175964391</v>
      </c>
      <c r="I105" s="8">
        <v>369.06089395216134</v>
      </c>
      <c r="J105" s="12">
        <v>0.15710841884586277</v>
      </c>
      <c r="K105" s="12">
        <v>0.13776381570946281</v>
      </c>
      <c r="L105" s="8">
        <v>21.388524716543426</v>
      </c>
      <c r="M105" s="8">
        <v>12.148018954166432</v>
      </c>
      <c r="N105" s="8">
        <v>36.997045669426086</v>
      </c>
      <c r="O105" s="8">
        <v>21.406809642775798</v>
      </c>
      <c r="P105" s="15">
        <v>1.2399900856017303</v>
      </c>
      <c r="Q105" s="15">
        <v>1.1328432924979432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6305.0098773981363</v>
      </c>
      <c r="Y105" s="8">
        <v>3741.6898918906923</v>
      </c>
    </row>
    <row r="106" spans="1:25" x14ac:dyDescent="0.2">
      <c r="A106" s="6" t="str">
        <f t="shared" si="9"/>
        <v>4- No Resource Additions&amp;2038</v>
      </c>
      <c r="B106" s="6" t="str">
        <f>'Scenario List'!$A$6</f>
        <v>4- No Resource Additions</v>
      </c>
      <c r="C106" s="6">
        <v>2038</v>
      </c>
      <c r="D106" s="8">
        <v>1022.7237390291932</v>
      </c>
      <c r="E106" s="8">
        <v>476.71536156622506</v>
      </c>
      <c r="F106" s="8">
        <v>1499.4391005954183</v>
      </c>
      <c r="G106" s="8">
        <v>230.63938307108526</v>
      </c>
      <c r="H106" s="8">
        <v>143.18505881615167</v>
      </c>
      <c r="I106" s="8">
        <v>373.82444188723696</v>
      </c>
      <c r="J106" s="12">
        <v>0.16067622834400275</v>
      </c>
      <c r="K106" s="12">
        <v>0.14090735616217009</v>
      </c>
      <c r="L106" s="8">
        <v>25.004464403273985</v>
      </c>
      <c r="M106" s="8">
        <v>14.232455649964155</v>
      </c>
      <c r="N106" s="8">
        <v>44.471557916469294</v>
      </c>
      <c r="O106" s="8">
        <v>25.909037999301788</v>
      </c>
      <c r="P106" s="15">
        <v>1.224682714546117</v>
      </c>
      <c r="Q106" s="15">
        <v>1.0838943776333174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6365.1216459946636</v>
      </c>
      <c r="Y106" s="8">
        <v>3774.353803650557</v>
      </c>
    </row>
    <row r="107" spans="1:25" x14ac:dyDescent="0.2">
      <c r="A107" s="6" t="str">
        <f t="shared" si="9"/>
        <v>4- No Resource Additions&amp;2039</v>
      </c>
      <c r="B107" s="6" t="str">
        <f>'Scenario List'!$A$6</f>
        <v>4- No Resource Additions</v>
      </c>
      <c r="C107" s="6">
        <v>2039</v>
      </c>
      <c r="D107" s="8">
        <v>1070.0257376885279</v>
      </c>
      <c r="E107" s="8">
        <v>499.11413705280614</v>
      </c>
      <c r="F107" s="8">
        <v>1569.1398747413341</v>
      </c>
      <c r="G107" s="8">
        <v>247.03834950437337</v>
      </c>
      <c r="H107" s="8">
        <v>152.62989028019672</v>
      </c>
      <c r="I107" s="8">
        <v>399.66823978457012</v>
      </c>
      <c r="J107" s="12">
        <v>0.16645116932082205</v>
      </c>
      <c r="K107" s="12">
        <v>0.14607143510680257</v>
      </c>
      <c r="L107" s="8">
        <v>24.56233774741294</v>
      </c>
      <c r="M107" s="8">
        <v>14.066953894860575</v>
      </c>
      <c r="N107" s="8">
        <v>42.117017965480699</v>
      </c>
      <c r="O107" s="8">
        <v>23.562167468999363</v>
      </c>
      <c r="P107" s="15">
        <v>1.3067269987873225</v>
      </c>
      <c r="Q107" s="15">
        <v>1.0693811198868441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6428.4663307239025</v>
      </c>
      <c r="Y107" s="8">
        <v>3808.6604994833697</v>
      </c>
    </row>
    <row r="108" spans="1:25" x14ac:dyDescent="0.2">
      <c r="A108" s="6" t="str">
        <f t="shared" si="9"/>
        <v>4- No Resource Additions&amp;2040</v>
      </c>
      <c r="B108" s="6" t="str">
        <f>'Scenario List'!$A$6</f>
        <v>4- No Resource Additions</v>
      </c>
      <c r="C108" s="6">
        <v>2040</v>
      </c>
      <c r="D108" s="8">
        <v>1103.9497599326644</v>
      </c>
      <c r="E108" s="8">
        <v>514.48900713670264</v>
      </c>
      <c r="F108" s="8">
        <v>1618.438767069367</v>
      </c>
      <c r="G108" s="8">
        <v>249.02736228353592</v>
      </c>
      <c r="H108" s="8">
        <v>154.58399932554406</v>
      </c>
      <c r="I108" s="8">
        <v>403.61136160907995</v>
      </c>
      <c r="J108" s="12">
        <v>0.16986779353593665</v>
      </c>
      <c r="K108" s="12">
        <v>0.14904927400963464</v>
      </c>
      <c r="L108" s="8">
        <v>28.152089742616589</v>
      </c>
      <c r="M108" s="8">
        <v>16.069998521211751</v>
      </c>
      <c r="N108" s="8">
        <v>52.918056457200862</v>
      </c>
      <c r="O108" s="8">
        <v>29.955279497400468</v>
      </c>
      <c r="P108" s="15">
        <v>1.3365081103336838</v>
      </c>
      <c r="Q108" s="15">
        <v>1.051925766649793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6498.8761963233283</v>
      </c>
      <c r="Y108" s="8">
        <v>3844.8727782553551</v>
      </c>
    </row>
    <row r="109" spans="1:25" x14ac:dyDescent="0.2">
      <c r="A109" s="6" t="str">
        <f t="shared" si="9"/>
        <v>4- No Resource Additions&amp;2041</v>
      </c>
      <c r="B109" s="6" t="str">
        <f>'Scenario List'!$A$6</f>
        <v>4- No Resource Additions</v>
      </c>
      <c r="C109" s="6">
        <v>2041</v>
      </c>
      <c r="D109" s="8">
        <v>1123.8148478645346</v>
      </c>
      <c r="E109" s="8">
        <v>517.68951313071557</v>
      </c>
      <c r="F109" s="8">
        <v>1641.5043609952502</v>
      </c>
      <c r="G109" s="8">
        <v>235.72079965510238</v>
      </c>
      <c r="H109" s="8">
        <v>143.91304403819558</v>
      </c>
      <c r="I109" s="8">
        <v>379.63384369329799</v>
      </c>
      <c r="J109" s="12">
        <v>0.17112739770475699</v>
      </c>
      <c r="K109" s="12">
        <v>0.14824326617725125</v>
      </c>
      <c r="L109" s="8">
        <v>28.336172375045418</v>
      </c>
      <c r="M109" s="8">
        <v>16.174838602307371</v>
      </c>
      <c r="N109" s="8">
        <v>49.552770138170928</v>
      </c>
      <c r="O109" s="8">
        <v>28.245909492956997</v>
      </c>
      <c r="P109" s="15">
        <v>1.1039227110724228</v>
      </c>
      <c r="Q109" s="15">
        <v>1.0095941009765625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6567.1240428924893</v>
      </c>
      <c r="Y109" s="8">
        <v>3884.1001915663046</v>
      </c>
    </row>
    <row r="110" spans="1:25" x14ac:dyDescent="0.2">
      <c r="A110" s="6" t="str">
        <f t="shared" si="9"/>
        <v>4- No Resource Additions&amp;2042</v>
      </c>
      <c r="B110" s="6" t="str">
        <f>'Scenario List'!$A$6</f>
        <v>4- No Resource Additions</v>
      </c>
      <c r="C110" s="6">
        <v>2042</v>
      </c>
      <c r="D110" s="8">
        <v>1167.1209152895144</v>
      </c>
      <c r="E110" s="8">
        <v>538.96913048571253</v>
      </c>
      <c r="F110" s="8">
        <v>1706.0900457752268</v>
      </c>
      <c r="G110" s="8">
        <v>242.7320275133462</v>
      </c>
      <c r="H110" s="8">
        <v>150.58109749765171</v>
      </c>
      <c r="I110" s="8">
        <v>393.31312501099791</v>
      </c>
      <c r="J110" s="12">
        <v>0.17567547496875652</v>
      </c>
      <c r="K110" s="12">
        <v>0.15250681731356355</v>
      </c>
      <c r="L110" s="8">
        <v>39.157284961535133</v>
      </c>
      <c r="M110" s="8">
        <v>22.216792329066134</v>
      </c>
      <c r="N110" s="8">
        <v>76.07060967795428</v>
      </c>
      <c r="O110" s="8">
        <v>42.929104398123627</v>
      </c>
      <c r="P110" s="15">
        <v>0.6703576090300184</v>
      </c>
      <c r="Q110" s="15">
        <v>0.63625085715494789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6643.6189541942849</v>
      </c>
      <c r="Y110" s="8">
        <v>3925.6346422238694</v>
      </c>
    </row>
    <row r="111" spans="1:25" x14ac:dyDescent="0.2">
      <c r="A111" s="6" t="str">
        <f t="shared" si="9"/>
        <v>4- No Resource Additions&amp;2043</v>
      </c>
      <c r="B111" s="6" t="str">
        <f>'Scenario List'!$A$6</f>
        <v>4- No Resource Additions</v>
      </c>
      <c r="C111" s="6">
        <v>2043</v>
      </c>
      <c r="D111" s="8">
        <v>1224.7100857521275</v>
      </c>
      <c r="E111" s="8">
        <v>564.03473321157981</v>
      </c>
      <c r="F111" s="8">
        <v>1788.7448189637073</v>
      </c>
      <c r="G111" s="8">
        <v>264.90057058676598</v>
      </c>
      <c r="H111" s="8">
        <v>160.67596478521079</v>
      </c>
      <c r="I111" s="8">
        <v>425.57653537197677</v>
      </c>
      <c r="J111" s="12">
        <v>0.18209116171918011</v>
      </c>
      <c r="K111" s="12">
        <v>0.15762565017014543</v>
      </c>
      <c r="L111" s="8">
        <v>39.657709266204499</v>
      </c>
      <c r="M111" s="8">
        <v>22.488220980794672</v>
      </c>
      <c r="N111" s="8">
        <v>74.362374154172301</v>
      </c>
      <c r="O111" s="8">
        <v>42.248828769862797</v>
      </c>
      <c r="P111" s="15">
        <v>0.75320476951316895</v>
      </c>
      <c r="Q111" s="15">
        <v>0.63683496030598963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6725.8074153037041</v>
      </c>
      <c r="Y111" s="8">
        <v>3969.9415138161808</v>
      </c>
    </row>
    <row r="112" spans="1:25" x14ac:dyDescent="0.2">
      <c r="A112" s="6" t="str">
        <f t="shared" si="9"/>
        <v>4- No Resource Additions&amp;2044</v>
      </c>
      <c r="B112" s="6" t="str">
        <f>'Scenario List'!$A$6</f>
        <v>4- No Resource Additions</v>
      </c>
      <c r="C112" s="6">
        <v>2044</v>
      </c>
      <c r="D112" s="8">
        <v>1284.7473022421625</v>
      </c>
      <c r="E112" s="8">
        <v>593.37637421192858</v>
      </c>
      <c r="F112" s="8">
        <v>1878.1236764540911</v>
      </c>
      <c r="G112" s="8">
        <v>288.20954062571224</v>
      </c>
      <c r="H112" s="8">
        <v>174.39772549438607</v>
      </c>
      <c r="I112" s="8">
        <v>462.6072661200983</v>
      </c>
      <c r="J112" s="12">
        <v>0.18843558059039042</v>
      </c>
      <c r="K112" s="12">
        <v>0.16369170966561733</v>
      </c>
      <c r="L112" s="8">
        <v>49.307543628205089</v>
      </c>
      <c r="M112" s="8">
        <v>27.983031399253555</v>
      </c>
      <c r="N112" s="8">
        <v>94.358873986521616</v>
      </c>
      <c r="O112" s="8">
        <v>54.436074225975347</v>
      </c>
      <c r="P112" s="15">
        <v>0.8043635859806515</v>
      </c>
      <c r="Q112" s="15">
        <v>0.69541616561848962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6817.9655785648383</v>
      </c>
      <c r="Y112" s="8">
        <v>4017.9528484043276</v>
      </c>
    </row>
    <row r="113" spans="1:25" x14ac:dyDescent="0.2">
      <c r="A113" s="6" t="str">
        <f t="shared" si="9"/>
        <v>4- No Resource Additions&amp;2045</v>
      </c>
      <c r="B113" s="6" t="str">
        <f>'Scenario List'!$A$6</f>
        <v>4- No Resource Additions</v>
      </c>
      <c r="C113" s="6">
        <v>2045</v>
      </c>
      <c r="D113" s="8">
        <v>1341.0096731122876</v>
      </c>
      <c r="E113" s="8">
        <v>623.25689691999332</v>
      </c>
      <c r="F113" s="8">
        <v>1964.2665700322809</v>
      </c>
      <c r="G113" s="8">
        <v>305.88433706141569</v>
      </c>
      <c r="H113" s="8">
        <v>187.83260647996929</v>
      </c>
      <c r="I113" s="8">
        <v>493.71694354138498</v>
      </c>
      <c r="J113" s="12">
        <v>0.1940355520856471</v>
      </c>
      <c r="K113" s="12">
        <v>0.16942603612961071</v>
      </c>
      <c r="L113" s="8">
        <v>45.558409396096721</v>
      </c>
      <c r="M113" s="8">
        <v>25.846661443757128</v>
      </c>
      <c r="N113" s="8">
        <v>87.651002111892581</v>
      </c>
      <c r="O113" s="8">
        <v>49.537523355781616</v>
      </c>
      <c r="P113" s="15">
        <v>0.56693695202845984</v>
      </c>
      <c r="Q113" s="15">
        <v>0.44913627874999995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6911.1544698796606</v>
      </c>
      <c r="Y113" s="8">
        <v>4070.4274226173325</v>
      </c>
    </row>
    <row r="114" spans="1:25" x14ac:dyDescent="0.2">
      <c r="A114" s="6" t="str">
        <f t="shared" si="9"/>
        <v>4- No Resource Additions&amp;NPV</v>
      </c>
      <c r="B114" s="6" t="str">
        <f>'Scenario List'!$A$6</f>
        <v>4- No Resource Additions</v>
      </c>
      <c r="C114" s="3" t="s">
        <v>6</v>
      </c>
      <c r="D114" s="16">
        <f t="shared" ref="D114:I114" si="14">NPV($B$1,D90:D113)</f>
        <v>9961.6597768995434</v>
      </c>
      <c r="E114" s="16">
        <f t="shared" si="14"/>
        <v>4722.1897791886049</v>
      </c>
      <c r="F114" s="16">
        <f t="shared" si="14"/>
        <v>14683.849556088147</v>
      </c>
      <c r="G114" s="16">
        <f t="shared" si="14"/>
        <v>2688.9549212022966</v>
      </c>
      <c r="H114" s="16">
        <f t="shared" si="14"/>
        <v>1591.3212500057225</v>
      </c>
      <c r="I114" s="16">
        <f t="shared" si="14"/>
        <v>4280.2761712080192</v>
      </c>
      <c r="L114" s="52">
        <f t="shared" ref="L114:Q114" si="15">NPV($B$1,L90:L113)</f>
        <v>220.73733054709902</v>
      </c>
      <c r="M114" s="52">
        <f t="shared" si="15"/>
        <v>124.09440666878909</v>
      </c>
      <c r="N114" s="52">
        <f t="shared" si="15"/>
        <v>393.86673693025944</v>
      </c>
      <c r="O114" s="52">
        <f t="shared" si="15"/>
        <v>222.20613160442554</v>
      </c>
      <c r="P114" s="52">
        <f t="shared" si="15"/>
        <v>17.998962624000178</v>
      </c>
      <c r="Q114" s="52">
        <f t="shared" si="15"/>
        <v>18.552813957747865</v>
      </c>
      <c r="X114" s="52">
        <f>-PMT($B$1,22,NPV($B$1,X92:X113))</f>
        <v>6096.5834335342006</v>
      </c>
      <c r="Y114" s="52">
        <f>-PMT($B$1,22,NPV($B$1,Y92:Y113))</f>
        <v>3634.9992377785752</v>
      </c>
    </row>
    <row r="115" spans="1:25" x14ac:dyDescent="0.2">
      <c r="A115" s="6" t="str">
        <f t="shared" si="9"/>
        <v>4- No Resource Additions&amp;Levelized</v>
      </c>
      <c r="B115" s="6" t="str">
        <f>'Scenario List'!$A$6</f>
        <v>4- No Resource Additions</v>
      </c>
      <c r="C115" s="3" t="s">
        <v>7</v>
      </c>
      <c r="D115" s="16">
        <f t="shared" ref="D115:I115" si="16">-PMT($B$1,COUNT(D90:D113),D114)</f>
        <v>847.09130897235184</v>
      </c>
      <c r="E115" s="16">
        <f t="shared" si="16"/>
        <v>401.5521520364282</v>
      </c>
      <c r="F115" s="16">
        <f t="shared" si="16"/>
        <v>1248.6434610087799</v>
      </c>
      <c r="G115" s="16">
        <f t="shared" si="16"/>
        <v>228.65570547299276</v>
      </c>
      <c r="H115" s="16">
        <f t="shared" si="16"/>
        <v>135.31825326827362</v>
      </c>
      <c r="I115" s="16">
        <f t="shared" si="16"/>
        <v>363.97395874126636</v>
      </c>
      <c r="L115" s="52">
        <f t="shared" ref="L115:Q115" si="17">-PMT($B$1,COUNT(L90:L113),L114)</f>
        <v>18.770433688752394</v>
      </c>
      <c r="M115" s="52">
        <f t="shared" si="17"/>
        <v>10.552387426940324</v>
      </c>
      <c r="N115" s="52">
        <f t="shared" si="17"/>
        <v>33.492520043759669</v>
      </c>
      <c r="O115" s="52">
        <f t="shared" si="17"/>
        <v>18.895333418128409</v>
      </c>
      <c r="P115" s="52">
        <f t="shared" si="17"/>
        <v>1.5305446231626005</v>
      </c>
      <c r="Q115" s="52">
        <f t="shared" si="17"/>
        <v>1.5776414586084737</v>
      </c>
    </row>
    <row r="116" spans="1:25" x14ac:dyDescent="0.2">
      <c r="A116" s="6" t="str">
        <f t="shared" si="9"/>
        <v>&amp;</v>
      </c>
    </row>
    <row r="117" spans="1:25" x14ac:dyDescent="0.2">
      <c r="A117" s="6" t="str">
        <f t="shared" si="9"/>
        <v>&amp;</v>
      </c>
    </row>
    <row r="118" spans="1:25" x14ac:dyDescent="0.2">
      <c r="A118" s="6" t="str">
        <f t="shared" si="9"/>
        <v>5- No CETA/ No new NG&amp;2023</v>
      </c>
      <c r="B118" s="6" t="str">
        <f>'Scenario List'!$A$7</f>
        <v>5- No CETA/ No new NG</v>
      </c>
      <c r="C118" s="6">
        <v>2023</v>
      </c>
      <c r="D118" s="8">
        <v>644.35381508280739</v>
      </c>
      <c r="E118" s="8">
        <v>316.40239455462665</v>
      </c>
      <c r="F118" s="8">
        <v>960.75620963743404</v>
      </c>
      <c r="G118" s="8">
        <v>237.08284356039445</v>
      </c>
      <c r="H118" s="8">
        <v>125.83890972954545</v>
      </c>
      <c r="I118" s="8">
        <v>362.92175328993989</v>
      </c>
      <c r="J118" s="12">
        <v>0.11228217775301841</v>
      </c>
      <c r="K118" s="12">
        <v>0.10242299380892764</v>
      </c>
      <c r="L118" s="8">
        <v>16.808400861879033</v>
      </c>
      <c r="M118" s="8">
        <v>9.4395370395143168</v>
      </c>
      <c r="N118" s="8">
        <v>27.712544310743795</v>
      </c>
      <c r="O118" s="8">
        <v>15.74892153057101</v>
      </c>
      <c r="P118" s="15">
        <v>2.5071495936225858</v>
      </c>
      <c r="Q118" s="15">
        <v>2.8792050200375625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5738.7007268434072</v>
      </c>
      <c r="Y118" s="8">
        <v>3475.0272683816693</v>
      </c>
    </row>
    <row r="119" spans="1:25" x14ac:dyDescent="0.2">
      <c r="A119" s="6" t="str">
        <f t="shared" si="9"/>
        <v>5- No CETA/ No new NG&amp;2024</v>
      </c>
      <c r="B119" s="6" t="str">
        <f>'Scenario List'!$A$7</f>
        <v>5- No CETA/ No new NG</v>
      </c>
      <c r="C119" s="6">
        <v>2024</v>
      </c>
      <c r="D119" s="8">
        <v>657.52126750815364</v>
      </c>
      <c r="E119" s="8">
        <v>322.0262781898258</v>
      </c>
      <c r="F119" s="8">
        <v>979.54754569797944</v>
      </c>
      <c r="G119" s="8">
        <v>232.0119732820888</v>
      </c>
      <c r="H119" s="8">
        <v>127.05979450314125</v>
      </c>
      <c r="I119" s="8">
        <v>359.07176778523007</v>
      </c>
      <c r="J119" s="12">
        <v>0.1135649664430529</v>
      </c>
      <c r="K119" s="12">
        <v>0.10392256496909974</v>
      </c>
      <c r="L119" s="8">
        <v>13.121846285235302</v>
      </c>
      <c r="M119" s="8">
        <v>7.2914270703604647</v>
      </c>
      <c r="N119" s="8">
        <v>22.188738565964186</v>
      </c>
      <c r="O119" s="8">
        <v>12.611182502166344</v>
      </c>
      <c r="P119" s="15">
        <v>2.4534395808316507</v>
      </c>
      <c r="Q119" s="15">
        <v>2.9672417086309277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5789.8248738343736</v>
      </c>
      <c r="Y119" s="8">
        <v>3486.4740129106776</v>
      </c>
    </row>
    <row r="120" spans="1:25" x14ac:dyDescent="0.2">
      <c r="A120" s="6" t="str">
        <f t="shared" si="9"/>
        <v>5- No CETA/ No new NG&amp;2025</v>
      </c>
      <c r="B120" s="6" t="str">
        <f>'Scenario List'!$A$7</f>
        <v>5- No CETA/ No new NG</v>
      </c>
      <c r="C120" s="6">
        <v>2025</v>
      </c>
      <c r="D120" s="8">
        <v>681.54403989081572</v>
      </c>
      <c r="E120" s="8">
        <v>329.72659250990256</v>
      </c>
      <c r="F120" s="8">
        <v>1011.2706324007183</v>
      </c>
      <c r="G120" s="8">
        <v>234.40105870985286</v>
      </c>
      <c r="H120" s="8">
        <v>127.22054938124732</v>
      </c>
      <c r="I120" s="8">
        <v>361.6216080911002</v>
      </c>
      <c r="J120" s="12">
        <v>0.11700735406239808</v>
      </c>
      <c r="K120" s="12">
        <v>0.10610208589460492</v>
      </c>
      <c r="L120" s="8">
        <v>10.31850385426711</v>
      </c>
      <c r="M120" s="8">
        <v>5.6563937497784096</v>
      </c>
      <c r="N120" s="8">
        <v>17.610319247669281</v>
      </c>
      <c r="O120" s="8">
        <v>9.6018397311251249</v>
      </c>
      <c r="P120" s="15">
        <v>2.268092632346657</v>
      </c>
      <c r="Q120" s="15">
        <v>2.7196586755011132</v>
      </c>
      <c r="R120" s="8">
        <v>0.4337254329704559</v>
      </c>
      <c r="S120" s="8">
        <v>0</v>
      </c>
      <c r="T120" s="8">
        <v>0.4337254329704559</v>
      </c>
      <c r="U120" s="8">
        <v>0</v>
      </c>
      <c r="V120" s="8">
        <v>0</v>
      </c>
      <c r="W120" s="8">
        <v>0</v>
      </c>
      <c r="X120" s="8">
        <v>5824.7966151542887</v>
      </c>
      <c r="Y120" s="8">
        <v>3498.6912336044452</v>
      </c>
    </row>
    <row r="121" spans="1:25" x14ac:dyDescent="0.2">
      <c r="A121" s="6" t="str">
        <f t="shared" si="9"/>
        <v>5- No CETA/ No new NG&amp;2026</v>
      </c>
      <c r="B121" s="6" t="str">
        <f>'Scenario List'!$A$7</f>
        <v>5- No CETA/ No new NG</v>
      </c>
      <c r="C121" s="6">
        <v>2026</v>
      </c>
      <c r="D121" s="8">
        <v>690.72676458959779</v>
      </c>
      <c r="E121" s="8">
        <v>339.8088836834113</v>
      </c>
      <c r="F121" s="8">
        <v>1030.535648273009</v>
      </c>
      <c r="G121" s="8">
        <v>208.26352365201132</v>
      </c>
      <c r="H121" s="8">
        <v>129.39471403084707</v>
      </c>
      <c r="I121" s="8">
        <v>337.65823768285838</v>
      </c>
      <c r="J121" s="12">
        <v>0.11922091741319368</v>
      </c>
      <c r="K121" s="12">
        <v>0.11026743453345345</v>
      </c>
      <c r="L121" s="8">
        <v>13.360028598956026</v>
      </c>
      <c r="M121" s="8">
        <v>7.2074019038641683</v>
      </c>
      <c r="N121" s="8">
        <v>23.121145601550637</v>
      </c>
      <c r="O121" s="8">
        <v>12.583249038356996</v>
      </c>
      <c r="P121" s="15">
        <v>1.3580652872160504</v>
      </c>
      <c r="Q121" s="15">
        <v>1.4922093815351607</v>
      </c>
      <c r="R121" s="8">
        <v>1.3990557965225998</v>
      </c>
      <c r="S121" s="8">
        <v>0</v>
      </c>
      <c r="T121" s="8">
        <v>1.3990557965225998</v>
      </c>
      <c r="U121" s="8">
        <v>0</v>
      </c>
      <c r="V121" s="8">
        <v>0</v>
      </c>
      <c r="W121" s="8">
        <v>0</v>
      </c>
      <c r="X121" s="8">
        <v>5793.6709394349782</v>
      </c>
      <c r="Y121" s="8">
        <v>3474.0383743474008</v>
      </c>
    </row>
    <row r="122" spans="1:25" x14ac:dyDescent="0.2">
      <c r="A122" s="6" t="str">
        <f t="shared" si="9"/>
        <v>5- No CETA/ No new NG&amp;2027</v>
      </c>
      <c r="B122" s="6" t="str">
        <f>'Scenario List'!$A$7</f>
        <v>5- No CETA/ No new NG</v>
      </c>
      <c r="C122" s="6">
        <v>2027</v>
      </c>
      <c r="D122" s="8">
        <v>710.41237933184425</v>
      </c>
      <c r="E122" s="8">
        <v>344.00910846396107</v>
      </c>
      <c r="F122" s="8">
        <v>1054.4214877958052</v>
      </c>
      <c r="G122" s="8">
        <v>207.48103725329213</v>
      </c>
      <c r="H122" s="8">
        <v>125.29908334996321</v>
      </c>
      <c r="I122" s="8">
        <v>332.78012060325534</v>
      </c>
      <c r="J122" s="12">
        <v>0.1218124024499784</v>
      </c>
      <c r="K122" s="12">
        <v>0.11085603299694428</v>
      </c>
      <c r="L122" s="8">
        <v>10.982786573302402</v>
      </c>
      <c r="M122" s="8">
        <v>6.0294448887761076</v>
      </c>
      <c r="N122" s="8">
        <v>16.137850772952845</v>
      </c>
      <c r="O122" s="8">
        <v>8.7681537640558531</v>
      </c>
      <c r="P122" s="15">
        <v>1.5332232314396115</v>
      </c>
      <c r="Q122" s="15">
        <v>1.4329042999731518</v>
      </c>
      <c r="R122" s="8">
        <v>3.0856545396681039</v>
      </c>
      <c r="S122" s="8">
        <v>0</v>
      </c>
      <c r="T122" s="8">
        <v>3.0856545396681043</v>
      </c>
      <c r="U122" s="8">
        <v>0</v>
      </c>
      <c r="V122" s="8">
        <v>0</v>
      </c>
      <c r="W122" s="8">
        <v>0</v>
      </c>
      <c r="X122" s="8">
        <v>5832.0200984753683</v>
      </c>
      <c r="Y122" s="8">
        <v>3494.4829570790039</v>
      </c>
    </row>
    <row r="123" spans="1:25" x14ac:dyDescent="0.2">
      <c r="A123" s="6" t="str">
        <f t="shared" si="9"/>
        <v>5- No CETA/ No new NG&amp;2028</v>
      </c>
      <c r="B123" s="6" t="str">
        <f>'Scenario List'!$A$7</f>
        <v>5- No CETA/ No new NG</v>
      </c>
      <c r="C123" s="6">
        <v>2028</v>
      </c>
      <c r="D123" s="8">
        <v>737.22022719768745</v>
      </c>
      <c r="E123" s="8">
        <v>352.7627341802102</v>
      </c>
      <c r="F123" s="8">
        <v>1089.9829613778977</v>
      </c>
      <c r="G123" s="8">
        <v>211.54974102996783</v>
      </c>
      <c r="H123" s="8">
        <v>125.41320692645668</v>
      </c>
      <c r="I123" s="8">
        <v>336.9629479564245</v>
      </c>
      <c r="J123" s="12">
        <v>0.12554421170370228</v>
      </c>
      <c r="K123" s="12">
        <v>0.11292752789138195</v>
      </c>
      <c r="L123" s="8">
        <v>13.20440806168693</v>
      </c>
      <c r="M123" s="8">
        <v>7.2914743731763236</v>
      </c>
      <c r="N123" s="8">
        <v>25.323728320421509</v>
      </c>
      <c r="O123" s="8">
        <v>14.14435283295802</v>
      </c>
      <c r="P123" s="15">
        <v>1.57433717587357</v>
      </c>
      <c r="Q123" s="15">
        <v>1.4184150619134281</v>
      </c>
      <c r="R123" s="8">
        <v>3.6546611726717537</v>
      </c>
      <c r="S123" s="8">
        <v>0</v>
      </c>
      <c r="T123" s="8">
        <v>3.6546611726717537</v>
      </c>
      <c r="U123" s="8">
        <v>0</v>
      </c>
      <c r="V123" s="8">
        <v>0</v>
      </c>
      <c r="W123" s="8">
        <v>0</v>
      </c>
      <c r="X123" s="8">
        <v>5872.1960749381724</v>
      </c>
      <c r="Y123" s="8">
        <v>3513.3508606421024</v>
      </c>
    </row>
    <row r="124" spans="1:25" x14ac:dyDescent="0.2">
      <c r="A124" s="6" t="str">
        <f t="shared" si="9"/>
        <v>5- No CETA/ No new NG&amp;2029</v>
      </c>
      <c r="B124" s="6" t="str">
        <f>'Scenario List'!$A$7</f>
        <v>5- No CETA/ No new NG</v>
      </c>
      <c r="C124" s="6">
        <v>2029</v>
      </c>
      <c r="D124" s="8">
        <v>762.34248170724823</v>
      </c>
      <c r="E124" s="8">
        <v>363.61117074422299</v>
      </c>
      <c r="F124" s="8">
        <v>1125.9536524514713</v>
      </c>
      <c r="G124" s="8">
        <v>213.10504089154557</v>
      </c>
      <c r="H124" s="8">
        <v>127.26205158182947</v>
      </c>
      <c r="I124" s="8">
        <v>340.36709247337501</v>
      </c>
      <c r="J124" s="12">
        <v>0.12902342921451221</v>
      </c>
      <c r="K124" s="12">
        <v>0.11554167175917324</v>
      </c>
      <c r="L124" s="8">
        <v>14.76060267178673</v>
      </c>
      <c r="M124" s="8">
        <v>8.1956062223735699</v>
      </c>
      <c r="N124" s="8">
        <v>24.079651161540511</v>
      </c>
      <c r="O124" s="8">
        <v>13.40311092700648</v>
      </c>
      <c r="P124" s="15">
        <v>1.5584989854187512</v>
      </c>
      <c r="Q124" s="15">
        <v>1.3845054987276737</v>
      </c>
      <c r="R124" s="8">
        <v>3.8056307256595754</v>
      </c>
      <c r="S124" s="8">
        <v>0</v>
      </c>
      <c r="T124" s="8">
        <v>3.8056307256595767</v>
      </c>
      <c r="U124" s="8">
        <v>0</v>
      </c>
      <c r="V124" s="8">
        <v>0</v>
      </c>
      <c r="W124" s="8">
        <v>0</v>
      </c>
      <c r="X124" s="8">
        <v>5908.558518002108</v>
      </c>
      <c r="Y124" s="8">
        <v>3534.4216080775113</v>
      </c>
    </row>
    <row r="125" spans="1:25" x14ac:dyDescent="0.2">
      <c r="A125" s="6" t="str">
        <f t="shared" si="9"/>
        <v>5- No CETA/ No new NG&amp;2030</v>
      </c>
      <c r="B125" s="6" t="str">
        <f>'Scenario List'!$A$7</f>
        <v>5- No CETA/ No new NG</v>
      </c>
      <c r="C125" s="6">
        <v>2030</v>
      </c>
      <c r="D125" s="8">
        <v>788.54018016877046</v>
      </c>
      <c r="E125" s="8">
        <v>375.04209687459297</v>
      </c>
      <c r="F125" s="8">
        <v>1163.5822770433633</v>
      </c>
      <c r="G125" s="8">
        <v>212.23226181708935</v>
      </c>
      <c r="H125" s="8">
        <v>129.57628903208942</v>
      </c>
      <c r="I125" s="8">
        <v>341.8085508491788</v>
      </c>
      <c r="J125" s="12">
        <v>0.13265834347180819</v>
      </c>
      <c r="K125" s="12">
        <v>0.11859328115315164</v>
      </c>
      <c r="L125" s="8">
        <v>12.506160221478861</v>
      </c>
      <c r="M125" s="8">
        <v>9.0434865139901799</v>
      </c>
      <c r="N125" s="8">
        <v>21.281654575058809</v>
      </c>
      <c r="O125" s="8">
        <v>16.412316749026573</v>
      </c>
      <c r="P125" s="15">
        <v>1.4546205029814729</v>
      </c>
      <c r="Q125" s="15">
        <v>1.4482233725931652</v>
      </c>
      <c r="R125" s="8">
        <v>18.031075523875153</v>
      </c>
      <c r="S125" s="8">
        <v>0</v>
      </c>
      <c r="T125" s="8">
        <v>26.765008392180224</v>
      </c>
      <c r="U125" s="8">
        <v>0</v>
      </c>
      <c r="V125" s="8">
        <v>658.82766557142497</v>
      </c>
      <c r="W125" s="8">
        <v>0</v>
      </c>
      <c r="X125" s="8">
        <v>5944.1431238461582</v>
      </c>
      <c r="Y125" s="8">
        <v>3553.6844433251467</v>
      </c>
    </row>
    <row r="126" spans="1:25" x14ac:dyDescent="0.2">
      <c r="A126" s="6" t="str">
        <f t="shared" si="9"/>
        <v>5- No CETA/ No new NG&amp;2031</v>
      </c>
      <c r="B126" s="6" t="str">
        <f>'Scenario List'!$A$7</f>
        <v>5- No CETA/ No new NG</v>
      </c>
      <c r="C126" s="6">
        <v>2031</v>
      </c>
      <c r="D126" s="8">
        <v>823.443593078498</v>
      </c>
      <c r="E126" s="8">
        <v>389.23288411310796</v>
      </c>
      <c r="F126" s="8">
        <v>1212.676477191606</v>
      </c>
      <c r="G126" s="8">
        <v>221.73186163248604</v>
      </c>
      <c r="H126" s="8">
        <v>134.15501627252345</v>
      </c>
      <c r="I126" s="8">
        <v>355.8868779050095</v>
      </c>
      <c r="J126" s="12">
        <v>0.13745095275912411</v>
      </c>
      <c r="K126" s="12">
        <v>0.12217815945282459</v>
      </c>
      <c r="L126" s="8">
        <v>11.232363618900624</v>
      </c>
      <c r="M126" s="8">
        <v>8.2750328842346494</v>
      </c>
      <c r="N126" s="8">
        <v>20.758431237767411</v>
      </c>
      <c r="O126" s="8">
        <v>14.311126025337956</v>
      </c>
      <c r="P126" s="15">
        <v>1.3695722653342177</v>
      </c>
      <c r="Q126" s="15">
        <v>1.3178533229172604</v>
      </c>
      <c r="R126" s="8">
        <v>17.397177885818845</v>
      </c>
      <c r="S126" s="8">
        <v>0</v>
      </c>
      <c r="T126" s="8">
        <v>26.023818365326246</v>
      </c>
      <c r="U126" s="8">
        <v>0</v>
      </c>
      <c r="V126" s="8">
        <v>657.32987004937092</v>
      </c>
      <c r="W126" s="8">
        <v>0</v>
      </c>
      <c r="X126" s="8">
        <v>5990.8176447604656</v>
      </c>
      <c r="Y126" s="8">
        <v>3577.0113331509606</v>
      </c>
    </row>
    <row r="127" spans="1:25" x14ac:dyDescent="0.2">
      <c r="A127" s="6" t="str">
        <f t="shared" si="9"/>
        <v>5- No CETA/ No new NG&amp;2032</v>
      </c>
      <c r="B127" s="6" t="str">
        <f>'Scenario List'!$A$7</f>
        <v>5- No CETA/ No new NG</v>
      </c>
      <c r="C127" s="6">
        <v>2032</v>
      </c>
      <c r="D127" s="8">
        <v>858.30801026110043</v>
      </c>
      <c r="E127" s="8">
        <v>410.7350656079642</v>
      </c>
      <c r="F127" s="8">
        <v>1269.0430758690645</v>
      </c>
      <c r="G127" s="8">
        <v>231.01434604733277</v>
      </c>
      <c r="H127" s="8">
        <v>145.70197356919797</v>
      </c>
      <c r="I127" s="8">
        <v>376.71631961653077</v>
      </c>
      <c r="J127" s="12">
        <v>0.14205372178466516</v>
      </c>
      <c r="K127" s="12">
        <v>0.12800200319163435</v>
      </c>
      <c r="L127" s="8">
        <v>9.3052874866870336</v>
      </c>
      <c r="M127" s="8">
        <v>9.0959276224924484</v>
      </c>
      <c r="N127" s="8">
        <v>15.825067754789046</v>
      </c>
      <c r="O127" s="8">
        <v>17.447693659760631</v>
      </c>
      <c r="P127" s="15">
        <v>1.2960124371131774</v>
      </c>
      <c r="Q127" s="15">
        <v>1.2400831169937785</v>
      </c>
      <c r="R127" s="8">
        <v>66.965109350830744</v>
      </c>
      <c r="S127" s="8">
        <v>52.639860056499856</v>
      </c>
      <c r="T127" s="8">
        <v>64.456962732178283</v>
      </c>
      <c r="U127" s="8">
        <v>52.639860056499849</v>
      </c>
      <c r="V127" s="8">
        <v>1485.123510618422</v>
      </c>
      <c r="W127" s="8">
        <v>-227.98620953452701</v>
      </c>
      <c r="X127" s="8">
        <v>6042.1367316386331</v>
      </c>
      <c r="Y127" s="8">
        <v>3600.7603290491734</v>
      </c>
    </row>
    <row r="128" spans="1:25" x14ac:dyDescent="0.2">
      <c r="A128" s="6" t="str">
        <f t="shared" si="9"/>
        <v>5- No CETA/ No new NG&amp;2033</v>
      </c>
      <c r="B128" s="6" t="str">
        <f>'Scenario List'!$A$7</f>
        <v>5- No CETA/ No new NG</v>
      </c>
      <c r="C128" s="6">
        <v>2033</v>
      </c>
      <c r="D128" s="8">
        <v>884.41205997400164</v>
      </c>
      <c r="E128" s="8">
        <v>421.80648330430404</v>
      </c>
      <c r="F128" s="8">
        <v>1306.2185432783058</v>
      </c>
      <c r="G128" s="8">
        <v>230.90959798263515</v>
      </c>
      <c r="H128" s="8">
        <v>146.35122446959377</v>
      </c>
      <c r="I128" s="8">
        <v>377.26082245222892</v>
      </c>
      <c r="J128" s="12">
        <v>0.14525789686241225</v>
      </c>
      <c r="K128" s="12">
        <v>0.13033654090209104</v>
      </c>
      <c r="L128" s="8">
        <v>9.614320627744112</v>
      </c>
      <c r="M128" s="8">
        <v>8.9472213901609123</v>
      </c>
      <c r="N128" s="8">
        <v>15.462291964475725</v>
      </c>
      <c r="O128" s="8">
        <v>16.438522770202511</v>
      </c>
      <c r="P128" s="15">
        <v>1.2861288018945367</v>
      </c>
      <c r="Q128" s="15">
        <v>1.2104176768359198</v>
      </c>
      <c r="R128" s="8">
        <v>66.105014513114469</v>
      </c>
      <c r="S128" s="8">
        <v>52.639860056499856</v>
      </c>
      <c r="T128" s="8">
        <v>63.630576801779213</v>
      </c>
      <c r="U128" s="8">
        <v>52.639860056499849</v>
      </c>
      <c r="V128" s="8">
        <v>1478.7495973951554</v>
      </c>
      <c r="W128" s="8">
        <v>-234.97864573238982</v>
      </c>
      <c r="X128" s="8">
        <v>6088.5644021936623</v>
      </c>
      <c r="Y128" s="8">
        <v>3626.6975182318206</v>
      </c>
    </row>
    <row r="129" spans="1:25" x14ac:dyDescent="0.2">
      <c r="A129" s="6" t="str">
        <f t="shared" si="9"/>
        <v>5- No CETA/ No new NG&amp;2034</v>
      </c>
      <c r="B129" s="6" t="str">
        <f>'Scenario List'!$A$7</f>
        <v>5- No CETA/ No new NG</v>
      </c>
      <c r="C129" s="6">
        <v>2034</v>
      </c>
      <c r="D129" s="8">
        <v>895.5104967205981</v>
      </c>
      <c r="E129" s="8">
        <v>424.45358744161814</v>
      </c>
      <c r="F129" s="8">
        <v>1319.9640841622163</v>
      </c>
      <c r="G129" s="8">
        <v>215.18361906673579</v>
      </c>
      <c r="H129" s="8">
        <v>138.1979543506047</v>
      </c>
      <c r="I129" s="8">
        <v>353.38157341734052</v>
      </c>
      <c r="J129" s="12">
        <v>0.145856342339408</v>
      </c>
      <c r="K129" s="12">
        <v>0.13004119713685644</v>
      </c>
      <c r="L129" s="8">
        <v>9.9314668208873087</v>
      </c>
      <c r="M129" s="8">
        <v>10.355357388357447</v>
      </c>
      <c r="N129" s="8">
        <v>17.509443262422892</v>
      </c>
      <c r="O129" s="8">
        <v>19.31505724526194</v>
      </c>
      <c r="P129" s="15">
        <v>1.364194332839991</v>
      </c>
      <c r="Q129" s="15">
        <v>1.1830499255774227</v>
      </c>
      <c r="R129" s="8">
        <v>65.153492112887477</v>
      </c>
      <c r="S129" s="8">
        <v>52.639860056499856</v>
      </c>
      <c r="T129" s="8">
        <v>62.709451742244354</v>
      </c>
      <c r="U129" s="8">
        <v>52.639860056499849</v>
      </c>
      <c r="V129" s="8">
        <v>1476.001962232802</v>
      </c>
      <c r="W129" s="8">
        <v>-232.60480059521359</v>
      </c>
      <c r="X129" s="8">
        <v>6139.6747125109123</v>
      </c>
      <c r="Y129" s="8">
        <v>3653.4639178131342</v>
      </c>
    </row>
    <row r="130" spans="1:25" x14ac:dyDescent="0.2">
      <c r="A130" s="6" t="str">
        <f t="shared" si="9"/>
        <v>5- No CETA/ No new NG&amp;2035</v>
      </c>
      <c r="B130" s="6" t="str">
        <f>'Scenario List'!$A$7</f>
        <v>5- No CETA/ No new NG</v>
      </c>
      <c r="C130" s="6">
        <v>2035</v>
      </c>
      <c r="D130" s="8">
        <v>928.39208102865541</v>
      </c>
      <c r="E130" s="8">
        <v>440.23433613920326</v>
      </c>
      <c r="F130" s="8">
        <v>1368.6264171678586</v>
      </c>
      <c r="G130" s="8">
        <v>220.5034424025753</v>
      </c>
      <c r="H130" s="8">
        <v>142.87588499869676</v>
      </c>
      <c r="I130" s="8">
        <v>363.37932740127206</v>
      </c>
      <c r="J130" s="12">
        <v>0.14991993536177661</v>
      </c>
      <c r="K130" s="12">
        <v>0.13380567479176628</v>
      </c>
      <c r="L130" s="8">
        <v>11.012167756536124</v>
      </c>
      <c r="M130" s="8">
        <v>11.058547108252519</v>
      </c>
      <c r="N130" s="8">
        <v>18.425320352735199</v>
      </c>
      <c r="O130" s="8">
        <v>20.691658224547382</v>
      </c>
      <c r="P130" s="15">
        <v>1.3853097394148051</v>
      </c>
      <c r="Q130" s="15">
        <v>1.184735001764377</v>
      </c>
      <c r="R130" s="8">
        <v>64.309658810189092</v>
      </c>
      <c r="S130" s="8">
        <v>52.639860056499856</v>
      </c>
      <c r="T130" s="8">
        <v>61.895642362747381</v>
      </c>
      <c r="U130" s="8">
        <v>52.639860056499849</v>
      </c>
      <c r="V130" s="8">
        <v>1486.3022935824924</v>
      </c>
      <c r="W130" s="8">
        <v>-241.4905029470292</v>
      </c>
      <c r="X130" s="8">
        <v>6192.5859212006908</v>
      </c>
      <c r="Y130" s="8">
        <v>3681.4346982213524</v>
      </c>
    </row>
    <row r="131" spans="1:25" x14ac:dyDescent="0.2">
      <c r="A131" s="6" t="str">
        <f t="shared" si="9"/>
        <v>5- No CETA/ No new NG&amp;2036</v>
      </c>
      <c r="B131" s="6" t="str">
        <f>'Scenario List'!$A$7</f>
        <v>5- No CETA/ No new NG</v>
      </c>
      <c r="C131" s="6">
        <v>2036</v>
      </c>
      <c r="D131" s="8">
        <v>972.66997331210337</v>
      </c>
      <c r="E131" s="8">
        <v>453.77605689552024</v>
      </c>
      <c r="F131" s="8">
        <v>1426.4460302076236</v>
      </c>
      <c r="G131" s="8">
        <v>235.56706802179968</v>
      </c>
      <c r="H131" s="8">
        <v>144.8514323469349</v>
      </c>
      <c r="I131" s="8">
        <v>380.41850036873461</v>
      </c>
      <c r="J131" s="12">
        <v>0.1556079219710732</v>
      </c>
      <c r="K131" s="12">
        <v>0.13675505773331936</v>
      </c>
      <c r="L131" s="8">
        <v>11.650490447212936</v>
      </c>
      <c r="M131" s="8">
        <v>10.637917115055052</v>
      </c>
      <c r="N131" s="8">
        <v>21.034809023051281</v>
      </c>
      <c r="O131" s="8">
        <v>19.134576872547981</v>
      </c>
      <c r="P131" s="15">
        <v>1.3910486567300093</v>
      </c>
      <c r="Q131" s="15">
        <v>1.1632062461186194</v>
      </c>
      <c r="R131" s="8">
        <v>140.96995941224833</v>
      </c>
      <c r="S131" s="8">
        <v>52.639860056499856</v>
      </c>
      <c r="T131" s="8">
        <v>134.19269634110964</v>
      </c>
      <c r="U131" s="8">
        <v>52.639860056499849</v>
      </c>
      <c r="V131" s="8">
        <v>1491.4679561126923</v>
      </c>
      <c r="W131" s="8">
        <v>-246.92551251597436</v>
      </c>
      <c r="X131" s="8">
        <v>6250.7741314925997</v>
      </c>
      <c r="Y131" s="8">
        <v>3710.3811123399173</v>
      </c>
    </row>
    <row r="132" spans="1:25" x14ac:dyDescent="0.2">
      <c r="A132" s="6" t="str">
        <f t="shared" si="9"/>
        <v>5- No CETA/ No new NG&amp;2037</v>
      </c>
      <c r="B132" s="6" t="str">
        <f>'Scenario List'!$A$7</f>
        <v>5- No CETA/ No new NG</v>
      </c>
      <c r="C132" s="6">
        <v>2037</v>
      </c>
      <c r="D132" s="8">
        <v>1006.6566155088035</v>
      </c>
      <c r="E132" s="8">
        <v>469.80188808432513</v>
      </c>
      <c r="F132" s="8">
        <v>1476.4585035931286</v>
      </c>
      <c r="G132" s="8">
        <v>240.46112232931034</v>
      </c>
      <c r="H132" s="8">
        <v>148.80179483549122</v>
      </c>
      <c r="I132" s="8">
        <v>389.26291716480159</v>
      </c>
      <c r="J132" s="12">
        <v>0.15965979991841642</v>
      </c>
      <c r="K132" s="12">
        <v>0.14024029262911497</v>
      </c>
      <c r="L132" s="8">
        <v>12.814343865754092</v>
      </c>
      <c r="M132" s="8">
        <v>11.890225752832514</v>
      </c>
      <c r="N132" s="8">
        <v>22.051981288922192</v>
      </c>
      <c r="O132" s="8">
        <v>19.621457207913593</v>
      </c>
      <c r="P132" s="15">
        <v>1.4032507231496814</v>
      </c>
      <c r="Q132" s="15">
        <v>1.1328432924979432</v>
      </c>
      <c r="R132" s="8">
        <v>140.11157385571823</v>
      </c>
      <c r="S132" s="8">
        <v>52.639860056499856</v>
      </c>
      <c r="T132" s="8">
        <v>133.35436587258178</v>
      </c>
      <c r="U132" s="8">
        <v>52.639860056499849</v>
      </c>
      <c r="V132" s="8">
        <v>1493.6931842366482</v>
      </c>
      <c r="W132" s="8">
        <v>-253.11627123373319</v>
      </c>
      <c r="X132" s="8">
        <v>6305.0098773967447</v>
      </c>
      <c r="Y132" s="8">
        <v>3741.6898918906923</v>
      </c>
    </row>
    <row r="133" spans="1:25" x14ac:dyDescent="0.2">
      <c r="A133" s="6" t="str">
        <f t="shared" ref="A133:A196" si="18">B133&amp;"&amp;"&amp;C133</f>
        <v>5- No CETA/ No new NG&amp;2038</v>
      </c>
      <c r="B133" s="6" t="str">
        <f>'Scenario List'!$A$7</f>
        <v>5- No CETA/ No new NG</v>
      </c>
      <c r="C133" s="6">
        <v>2038</v>
      </c>
      <c r="D133" s="8">
        <v>1048.2040290667769</v>
      </c>
      <c r="E133" s="8">
        <v>489.13823854573366</v>
      </c>
      <c r="F133" s="8">
        <v>1537.3422676125106</v>
      </c>
      <c r="G133" s="8">
        <v>251.89604837355782</v>
      </c>
      <c r="H133" s="8">
        <v>155.6079357956603</v>
      </c>
      <c r="I133" s="8">
        <v>407.50398416921814</v>
      </c>
      <c r="J133" s="12">
        <v>0.16467933958914935</v>
      </c>
      <c r="K133" s="12">
        <v>0.14457930569901603</v>
      </c>
      <c r="L133" s="8">
        <v>14.763665709226133</v>
      </c>
      <c r="M133" s="8">
        <v>13.737784223871053</v>
      </c>
      <c r="N133" s="8">
        <v>25.107545592728982</v>
      </c>
      <c r="O133" s="8">
        <v>23.988375398835728</v>
      </c>
      <c r="P133" s="15">
        <v>1.4537544434481888</v>
      </c>
      <c r="Q133" s="15">
        <v>1.0838943776333174</v>
      </c>
      <c r="R133" s="8">
        <v>173.01109089194884</v>
      </c>
      <c r="S133" s="8">
        <v>71.292305044961722</v>
      </c>
      <c r="T133" s="8">
        <v>166.28281387840715</v>
      </c>
      <c r="U133" s="8">
        <v>71.292305044961736</v>
      </c>
      <c r="V133" s="8">
        <v>1322.8927769415407</v>
      </c>
      <c r="W133" s="8">
        <v>-353.46901983427949</v>
      </c>
      <c r="X133" s="8">
        <v>6365.1216459933057</v>
      </c>
      <c r="Y133" s="8">
        <v>3774.353803650557</v>
      </c>
    </row>
    <row r="134" spans="1:25" x14ac:dyDescent="0.2">
      <c r="A134" s="6" t="str">
        <f t="shared" si="18"/>
        <v>5- No CETA/ No new NG&amp;2039</v>
      </c>
      <c r="B134" s="6" t="str">
        <f>'Scenario List'!$A$7</f>
        <v>5- No CETA/ No new NG</v>
      </c>
      <c r="C134" s="6">
        <v>2039</v>
      </c>
      <c r="D134" s="8">
        <v>1093.9454055069755</v>
      </c>
      <c r="E134" s="8">
        <v>510.88021246156654</v>
      </c>
      <c r="F134" s="8">
        <v>1604.825617968542</v>
      </c>
      <c r="G134" s="8">
        <v>266.76690519437074</v>
      </c>
      <c r="H134" s="8">
        <v>164.39286100907819</v>
      </c>
      <c r="I134" s="8">
        <v>431.15976620344895</v>
      </c>
      <c r="J134" s="12">
        <v>0.17017206736836329</v>
      </c>
      <c r="K134" s="12">
        <v>0.14951491104335105</v>
      </c>
      <c r="L134" s="8">
        <v>14.165957725056273</v>
      </c>
      <c r="M134" s="8">
        <v>13.30452290791745</v>
      </c>
      <c r="N134" s="8">
        <v>24.983422281036766</v>
      </c>
      <c r="O134" s="8">
        <v>21.166087824143418</v>
      </c>
      <c r="P134" s="15">
        <v>1.4967757315026569</v>
      </c>
      <c r="Q134" s="15">
        <v>1.0693811198868441</v>
      </c>
      <c r="R134" s="8">
        <v>172.18391838954017</v>
      </c>
      <c r="S134" s="8">
        <v>71.292305044961722</v>
      </c>
      <c r="T134" s="8">
        <v>165.48421694180388</v>
      </c>
      <c r="U134" s="8">
        <v>71.292305044961736</v>
      </c>
      <c r="V134" s="8">
        <v>1320.0092885818251</v>
      </c>
      <c r="W134" s="8">
        <v>-362.56090596672942</v>
      </c>
      <c r="X134" s="8">
        <v>6428.4663307225646</v>
      </c>
      <c r="Y134" s="8">
        <v>3808.6604994833697</v>
      </c>
    </row>
    <row r="135" spans="1:25" x14ac:dyDescent="0.2">
      <c r="A135" s="6" t="str">
        <f t="shared" si="18"/>
        <v>5- No CETA/ No new NG&amp;2040</v>
      </c>
      <c r="B135" s="6" t="str">
        <f>'Scenario List'!$A$7</f>
        <v>5- No CETA/ No new NG</v>
      </c>
      <c r="C135" s="6">
        <v>2040</v>
      </c>
      <c r="D135" s="8">
        <v>1131.7309232579864</v>
      </c>
      <c r="E135" s="8">
        <v>528.58377164461137</v>
      </c>
      <c r="F135" s="8">
        <v>1660.3146949025977</v>
      </c>
      <c r="G135" s="8">
        <v>272.56847624823712</v>
      </c>
      <c r="H135" s="8">
        <v>168.67451425565145</v>
      </c>
      <c r="I135" s="8">
        <v>441.24299050388856</v>
      </c>
      <c r="J135" s="12">
        <v>0.17414255773921042</v>
      </c>
      <c r="K135" s="12">
        <v>0.15313257683651574</v>
      </c>
      <c r="L135" s="8">
        <v>15.876328116640948</v>
      </c>
      <c r="M135" s="8">
        <v>15.033471428141526</v>
      </c>
      <c r="N135" s="8">
        <v>29.480064013307015</v>
      </c>
      <c r="O135" s="8">
        <v>28.4649900475262</v>
      </c>
      <c r="P135" s="15">
        <v>1.6169616324211309</v>
      </c>
      <c r="Q135" s="15">
        <v>1.051925766649793</v>
      </c>
      <c r="R135" s="8">
        <v>202.92768242712847</v>
      </c>
      <c r="S135" s="8">
        <v>88.736305044961725</v>
      </c>
      <c r="T135" s="8">
        <v>196.26557589905403</v>
      </c>
      <c r="U135" s="8">
        <v>88.736305044961725</v>
      </c>
      <c r="V135" s="8">
        <v>1153.3281715318437</v>
      </c>
      <c r="W135" s="8">
        <v>-468.63268344852725</v>
      </c>
      <c r="X135" s="8">
        <v>6498.8761963220131</v>
      </c>
      <c r="Y135" s="8">
        <v>3844.8727782553551</v>
      </c>
    </row>
    <row r="136" spans="1:25" x14ac:dyDescent="0.2">
      <c r="A136" s="6" t="str">
        <f t="shared" si="18"/>
        <v>5- No CETA/ No new NG&amp;2041</v>
      </c>
      <c r="B136" s="6" t="str">
        <f>'Scenario List'!$A$7</f>
        <v>5- No CETA/ No new NG</v>
      </c>
      <c r="C136" s="6">
        <v>2041</v>
      </c>
      <c r="D136" s="8">
        <v>1164.3972138592712</v>
      </c>
      <c r="E136" s="8">
        <v>542.19080902985263</v>
      </c>
      <c r="F136" s="8">
        <v>1706.5880228891237</v>
      </c>
      <c r="G136" s="8">
        <v>272.02546610896445</v>
      </c>
      <c r="H136" s="8">
        <v>168.23267303699788</v>
      </c>
      <c r="I136" s="8">
        <v>440.25813914596233</v>
      </c>
      <c r="J136" s="12">
        <v>0.17730702302170034</v>
      </c>
      <c r="K136" s="12">
        <v>0.15525934828348906</v>
      </c>
      <c r="L136" s="8">
        <v>16.142340419881339</v>
      </c>
      <c r="M136" s="8">
        <v>14.760937868893455</v>
      </c>
      <c r="N136" s="8">
        <v>28.299149104502675</v>
      </c>
      <c r="O136" s="8">
        <v>26.529368928528186</v>
      </c>
      <c r="P136" s="15">
        <v>1.9503509872164013</v>
      </c>
      <c r="Q136" s="15">
        <v>1.0095941009765625</v>
      </c>
      <c r="R136" s="8">
        <v>270.01473779445837</v>
      </c>
      <c r="S136" s="8">
        <v>126.26266653534366</v>
      </c>
      <c r="T136" s="8">
        <v>263.37113867722553</v>
      </c>
      <c r="U136" s="8">
        <v>126.26266653534367</v>
      </c>
      <c r="V136" s="8">
        <v>777.98314309013392</v>
      </c>
      <c r="W136" s="8">
        <v>-673.44963703203052</v>
      </c>
      <c r="X136" s="8">
        <v>6567.124042891197</v>
      </c>
      <c r="Y136" s="8">
        <v>3884.1001915663046</v>
      </c>
    </row>
    <row r="137" spans="1:25" x14ac:dyDescent="0.2">
      <c r="A137" s="6" t="str">
        <f t="shared" si="18"/>
        <v>5- No CETA/ No new NG&amp;2042</v>
      </c>
      <c r="B137" s="6" t="str">
        <f>'Scenario List'!$A$7</f>
        <v>5- No CETA/ No new NG</v>
      </c>
      <c r="C137" s="6">
        <v>2042</v>
      </c>
      <c r="D137" s="8">
        <v>1252.558159215951</v>
      </c>
      <c r="E137" s="8">
        <v>584.63997606331532</v>
      </c>
      <c r="F137" s="8">
        <v>1837.1981352792664</v>
      </c>
      <c r="G137" s="8">
        <v>322.19872719925013</v>
      </c>
      <c r="H137" s="8">
        <v>196.12734603775519</v>
      </c>
      <c r="I137" s="8">
        <v>518.32607323700529</v>
      </c>
      <c r="J137" s="12">
        <v>0.18853552075340191</v>
      </c>
      <c r="K137" s="12">
        <v>0.16542984928161442</v>
      </c>
      <c r="L137" s="8">
        <v>21.765606770851299</v>
      </c>
      <c r="M137" s="8">
        <v>19.086888482101838</v>
      </c>
      <c r="N137" s="8">
        <v>36.709598219040771</v>
      </c>
      <c r="O137" s="8">
        <v>32.609288854036649</v>
      </c>
      <c r="P137" s="15">
        <v>2.2846992083168116</v>
      </c>
      <c r="Q137" s="15">
        <v>0.63625085715494789</v>
      </c>
      <c r="R137" s="8">
        <v>491.18734736267561</v>
      </c>
      <c r="S137" s="8">
        <v>231.22438797878397</v>
      </c>
      <c r="T137" s="8">
        <v>484.57128358184525</v>
      </c>
      <c r="U137" s="8">
        <v>231.22438797878397</v>
      </c>
      <c r="V137" s="8">
        <v>-344.88804695678198</v>
      </c>
      <c r="W137" s="8">
        <v>-1231.609195452588</v>
      </c>
      <c r="X137" s="8">
        <v>6643.6189541930125</v>
      </c>
      <c r="Y137" s="8">
        <v>3925.6346422238694</v>
      </c>
    </row>
    <row r="138" spans="1:25" x14ac:dyDescent="0.2">
      <c r="A138" s="6" t="str">
        <f t="shared" si="18"/>
        <v>5- No CETA/ No new NG&amp;2043</v>
      </c>
      <c r="B138" s="6" t="str">
        <f>'Scenario List'!$A$7</f>
        <v>5- No CETA/ No new NG</v>
      </c>
      <c r="C138" s="6">
        <v>2043</v>
      </c>
      <c r="D138" s="8">
        <v>1314.2977140162066</v>
      </c>
      <c r="E138" s="8">
        <v>615.18776970440558</v>
      </c>
      <c r="F138" s="8">
        <v>1929.4854837206121</v>
      </c>
      <c r="G138" s="8">
        <v>348.47423973752126</v>
      </c>
      <c r="H138" s="8">
        <v>211.58860357292002</v>
      </c>
      <c r="I138" s="8">
        <v>560.06284331044128</v>
      </c>
      <c r="J138" s="12">
        <v>0.19541114290991113</v>
      </c>
      <c r="K138" s="12">
        <v>0.17192092342299714</v>
      </c>
      <c r="L138" s="8">
        <v>23.257886247956169</v>
      </c>
      <c r="M138" s="8">
        <v>19.651554414698904</v>
      </c>
      <c r="N138" s="8">
        <v>42.116890781193916</v>
      </c>
      <c r="O138" s="8">
        <v>33.300160365432248</v>
      </c>
      <c r="P138" s="15">
        <v>2.6488375720830684</v>
      </c>
      <c r="Q138" s="15">
        <v>0.63683496030598963</v>
      </c>
      <c r="R138" s="8">
        <v>523.90602427057058</v>
      </c>
      <c r="S138" s="8">
        <v>249.73665478588208</v>
      </c>
      <c r="T138" s="8">
        <v>517.31715756707138</v>
      </c>
      <c r="U138" s="8">
        <v>249.73665478588208</v>
      </c>
      <c r="V138" s="8">
        <v>-575.37952386248412</v>
      </c>
      <c r="W138" s="8">
        <v>-1328.7969272344444</v>
      </c>
      <c r="X138" s="8">
        <v>6725.8074153024472</v>
      </c>
      <c r="Y138" s="8">
        <v>3969.9415138161808</v>
      </c>
    </row>
    <row r="139" spans="1:25" x14ac:dyDescent="0.2">
      <c r="A139" s="6" t="str">
        <f t="shared" si="18"/>
        <v>5- No CETA/ No new NG&amp;2044</v>
      </c>
      <c r="B139" s="6" t="str">
        <f>'Scenario List'!$A$7</f>
        <v>5- No CETA/ No new NG</v>
      </c>
      <c r="C139" s="6">
        <v>2044</v>
      </c>
      <c r="D139" s="8">
        <v>1373.0982968386913</v>
      </c>
      <c r="E139" s="8">
        <v>647.73282168776643</v>
      </c>
      <c r="F139" s="8">
        <v>2020.8311185264579</v>
      </c>
      <c r="G139" s="8">
        <v>370.46146734762635</v>
      </c>
      <c r="H139" s="8">
        <v>228.54657712340037</v>
      </c>
      <c r="I139" s="8">
        <v>599.00804447102678</v>
      </c>
      <c r="J139" s="12">
        <v>0.2013941374470794</v>
      </c>
      <c r="K139" s="12">
        <v>0.17868674520353606</v>
      </c>
      <c r="L139" s="8">
        <v>29.019509596798613</v>
      </c>
      <c r="M139" s="8">
        <v>24.464326459766013</v>
      </c>
      <c r="N139" s="8">
        <v>56.222053320471872</v>
      </c>
      <c r="O139" s="8">
        <v>46.757491438070616</v>
      </c>
      <c r="P139" s="15">
        <v>2.7820823803079886</v>
      </c>
      <c r="Q139" s="15">
        <v>0.69541616561848962</v>
      </c>
      <c r="R139" s="8">
        <v>560.56558361400357</v>
      </c>
      <c r="S139" s="8">
        <v>270.42000538483916</v>
      </c>
      <c r="T139" s="8">
        <v>554.01307846454245</v>
      </c>
      <c r="U139" s="8">
        <v>270.42000538483916</v>
      </c>
      <c r="V139" s="8">
        <v>-649.54036020579883</v>
      </c>
      <c r="W139" s="8">
        <v>-1378.2055211816908</v>
      </c>
      <c r="X139" s="8">
        <v>6817.9655785635878</v>
      </c>
      <c r="Y139" s="8">
        <v>4017.9528484043276</v>
      </c>
    </row>
    <row r="140" spans="1:25" x14ac:dyDescent="0.2">
      <c r="A140" s="6" t="str">
        <f t="shared" si="18"/>
        <v>5- No CETA/ No new NG&amp;2045</v>
      </c>
      <c r="B140" s="6" t="str">
        <f>'Scenario List'!$A$7</f>
        <v>5- No CETA/ No new NG</v>
      </c>
      <c r="C140" s="6">
        <v>2045</v>
      </c>
      <c r="D140" s="8">
        <v>1540.3807984365399</v>
      </c>
      <c r="E140" s="8">
        <v>691.91690281864044</v>
      </c>
      <c r="F140" s="8">
        <v>2232.2977012551801</v>
      </c>
      <c r="G140" s="8">
        <v>495.86616884725504</v>
      </c>
      <c r="H140" s="8">
        <v>256.40388966887519</v>
      </c>
      <c r="I140" s="8">
        <v>752.27005851613023</v>
      </c>
      <c r="J140" s="12">
        <v>0.2228832831258708</v>
      </c>
      <c r="K140" s="12">
        <v>0.18809055905351307</v>
      </c>
      <c r="L140" s="8">
        <v>34.257070097812999</v>
      </c>
      <c r="M140" s="8">
        <v>22.160665838446889</v>
      </c>
      <c r="N140" s="8">
        <v>62.654974095385299</v>
      </c>
      <c r="O140" s="8">
        <v>44.024194059198891</v>
      </c>
      <c r="P140" s="15">
        <v>3.2395366680423572</v>
      </c>
      <c r="Q140" s="15">
        <v>0.159892515235</v>
      </c>
      <c r="R140" s="8">
        <v>913.33107289680243</v>
      </c>
      <c r="S140" s="8">
        <v>342.64704152427839</v>
      </c>
      <c r="T140" s="8">
        <v>906.79560214114065</v>
      </c>
      <c r="U140" s="8">
        <v>342.64704152427845</v>
      </c>
      <c r="V140" s="8">
        <v>-2418.9965657730772</v>
      </c>
      <c r="W140" s="8">
        <v>-1738.5738235681106</v>
      </c>
      <c r="X140" s="8">
        <v>6911.1544698784219</v>
      </c>
      <c r="Y140" s="8">
        <v>4070.4274226173325</v>
      </c>
    </row>
    <row r="141" spans="1:25" x14ac:dyDescent="0.2">
      <c r="A141" s="6" t="str">
        <f t="shared" si="18"/>
        <v>&amp;NPV</v>
      </c>
      <c r="C141" s="3" t="s">
        <v>6</v>
      </c>
      <c r="D141" s="16">
        <f t="shared" ref="D141:I141" si="19">NPV($B$1,D117:D140)</f>
        <v>10142.495648128395</v>
      </c>
      <c r="E141" s="16">
        <f t="shared" si="19"/>
        <v>4823.6461635974929</v>
      </c>
      <c r="F141" s="16">
        <f t="shared" si="19"/>
        <v>14966.141811725889</v>
      </c>
      <c r="G141" s="16">
        <f t="shared" si="19"/>
        <v>2842.7688595426889</v>
      </c>
      <c r="H141" s="16">
        <f t="shared" si="19"/>
        <v>1692.5053169169598</v>
      </c>
      <c r="I141" s="16">
        <f t="shared" si="19"/>
        <v>4535.2741764596494</v>
      </c>
      <c r="L141" s="52">
        <f t="shared" ref="L141:Q141" si="20">NPV($B$1,L117:L140)</f>
        <v>163.62708559330545</v>
      </c>
      <c r="M141" s="52">
        <f t="shared" si="20"/>
        <v>119.22664216791138</v>
      </c>
      <c r="N141" s="52">
        <f t="shared" si="20"/>
        <v>283.12160711482989</v>
      </c>
      <c r="O141" s="52">
        <f t="shared" si="20"/>
        <v>210.791264627392</v>
      </c>
      <c r="P141" s="52">
        <f t="shared" si="20"/>
        <v>20.961595039339262</v>
      </c>
      <c r="Q141" s="52">
        <f t="shared" si="20"/>
        <v>18.485005298709673</v>
      </c>
      <c r="X141" s="52">
        <f>-PMT($B$1,22,NPV($B$1,X119:X140))</f>
        <v>6096.5834335329619</v>
      </c>
      <c r="Y141" s="52">
        <f>-PMT($B$1,22,NPV($B$1,Y119:Y140))</f>
        <v>3634.9992377785752</v>
      </c>
    </row>
    <row r="142" spans="1:25" x14ac:dyDescent="0.2">
      <c r="A142" s="6" t="str">
        <f t="shared" si="18"/>
        <v>&amp;Levelized</v>
      </c>
      <c r="C142" s="3" t="s">
        <v>7</v>
      </c>
      <c r="D142" s="16">
        <f t="shared" ref="D142:I142" si="21">-PMT($B$1,COUNT(D117:D140),D141)</f>
        <v>862.4687157799633</v>
      </c>
      <c r="E142" s="16">
        <f t="shared" si="21"/>
        <v>410.1795116730043</v>
      </c>
      <c r="F142" s="16">
        <f t="shared" si="21"/>
        <v>1272.6482274529678</v>
      </c>
      <c r="G142" s="16">
        <f t="shared" si="21"/>
        <v>241.73529795908632</v>
      </c>
      <c r="H142" s="16">
        <f t="shared" si="21"/>
        <v>143.92245634352292</v>
      </c>
      <c r="I142" s="16">
        <f t="shared" si="21"/>
        <v>385.65775430260925</v>
      </c>
      <c r="L142" s="52">
        <f t="shared" ref="L142:Q142" si="22">-PMT($B$1,COUNT(L117:L140),L141)</f>
        <v>13.914055009184835</v>
      </c>
      <c r="M142" s="52">
        <f t="shared" si="22"/>
        <v>10.138456305504151</v>
      </c>
      <c r="N142" s="52">
        <f t="shared" si="22"/>
        <v>24.0752904777382</v>
      </c>
      <c r="O142" s="52">
        <f t="shared" si="22"/>
        <v>17.924668405883818</v>
      </c>
      <c r="P142" s="52">
        <f t="shared" si="22"/>
        <v>1.7824725374779595</v>
      </c>
      <c r="Q142" s="52">
        <f t="shared" si="22"/>
        <v>1.5718753386012918</v>
      </c>
    </row>
    <row r="143" spans="1:25" x14ac:dyDescent="0.2">
      <c r="A143" s="6" t="str">
        <f t="shared" si="18"/>
        <v>&amp;</v>
      </c>
      <c r="C143" s="3"/>
      <c r="D143" s="16"/>
      <c r="E143" s="16"/>
      <c r="F143" s="16"/>
      <c r="G143" s="16"/>
      <c r="H143" s="16"/>
      <c r="I143" s="16"/>
      <c r="L143" s="52"/>
      <c r="M143" s="52"/>
      <c r="N143" s="52"/>
      <c r="O143" s="52"/>
      <c r="P143" s="52"/>
      <c r="Q143" s="52"/>
    </row>
    <row r="144" spans="1:25" x14ac:dyDescent="0.2">
      <c r="A144" s="6" t="str">
        <f t="shared" si="18"/>
        <v>&amp;</v>
      </c>
    </row>
    <row r="145" spans="1:25" x14ac:dyDescent="0.2">
      <c r="A145" s="6" t="str">
        <f t="shared" si="18"/>
        <v>6- WRAP PRM&amp;2023</v>
      </c>
      <c r="B145" s="6" t="str">
        <f>'Scenario List'!$A$8</f>
        <v>6- WRAP PRM</v>
      </c>
      <c r="C145" s="6">
        <v>2023</v>
      </c>
      <c r="D145" s="8">
        <v>644.35291091889178</v>
      </c>
      <c r="E145" s="8">
        <v>316.40176282327144</v>
      </c>
      <c r="F145" s="8">
        <v>960.75467374216328</v>
      </c>
      <c r="G145" s="8">
        <v>410.77159111369144</v>
      </c>
      <c r="H145" s="8">
        <v>125.83813932577942</v>
      </c>
      <c r="I145" s="8">
        <v>536.60973043947092</v>
      </c>
      <c r="J145" s="12">
        <v>0.11228410762787934</v>
      </c>
      <c r="K145" s="12">
        <v>0.10242397045023439</v>
      </c>
      <c r="L145" s="8">
        <v>16.807885076471081</v>
      </c>
      <c r="M145" s="8">
        <v>9.4393702294918942</v>
      </c>
      <c r="N145" s="8">
        <v>27.712404065875603</v>
      </c>
      <c r="O145" s="8">
        <v>15.748680286688753</v>
      </c>
      <c r="P145" s="15">
        <v>2.5071495936225858</v>
      </c>
      <c r="Q145" s="15">
        <v>2.8792050200375625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5738.5940408801325</v>
      </c>
      <c r="Y145" s="8">
        <v>3474.9916444379028</v>
      </c>
    </row>
    <row r="146" spans="1:25" x14ac:dyDescent="0.2">
      <c r="A146" s="6" t="str">
        <f t="shared" si="18"/>
        <v>6- WRAP PRM&amp;2024</v>
      </c>
      <c r="B146" s="6" t="str">
        <f>'Scenario List'!$A$8</f>
        <v>6- WRAP PRM</v>
      </c>
      <c r="C146" s="6">
        <v>2024</v>
      </c>
      <c r="D146" s="8">
        <v>657.51368728398438</v>
      </c>
      <c r="E146" s="8">
        <v>322.02696738441176</v>
      </c>
      <c r="F146" s="8">
        <v>979.5406546683962</v>
      </c>
      <c r="G146" s="8">
        <v>417.64291697242663</v>
      </c>
      <c r="H146" s="8">
        <v>127.0602052103591</v>
      </c>
      <c r="I146" s="8">
        <v>544.70312218278571</v>
      </c>
      <c r="J146" s="12">
        <v>0.11356834866717962</v>
      </c>
      <c r="K146" s="12">
        <v>0.10392524685871651</v>
      </c>
      <c r="L146" s="8">
        <v>13.117284662516074</v>
      </c>
      <c r="M146" s="8">
        <v>7.2911342277836315</v>
      </c>
      <c r="N146" s="8">
        <v>22.189702950477383</v>
      </c>
      <c r="O146" s="8">
        <v>12.611041119296459</v>
      </c>
      <c r="P146" s="15">
        <v>2.4532169693564638</v>
      </c>
      <c r="Q146" s="15">
        <v>2.9672417086309277</v>
      </c>
      <c r="R146" s="8">
        <v>1.0380200044495842E-2</v>
      </c>
      <c r="S146" s="8">
        <v>0</v>
      </c>
      <c r="T146" s="8">
        <v>0.11416085097882279</v>
      </c>
      <c r="U146" s="8">
        <v>0</v>
      </c>
      <c r="V146" s="8">
        <v>0.97729443319812614</v>
      </c>
      <c r="W146" s="8">
        <v>0</v>
      </c>
      <c r="X146" s="8">
        <v>5789.5856988365349</v>
      </c>
      <c r="Y146" s="8">
        <v>3486.4006793001909</v>
      </c>
    </row>
    <row r="147" spans="1:25" x14ac:dyDescent="0.2">
      <c r="A147" s="6" t="str">
        <f t="shared" si="18"/>
        <v>6- WRAP PRM&amp;2025</v>
      </c>
      <c r="B147" s="6" t="str">
        <f>'Scenario List'!$A$8</f>
        <v>6- WRAP PRM</v>
      </c>
      <c r="C147" s="6">
        <v>2025</v>
      </c>
      <c r="D147" s="8">
        <v>681.54791644745376</v>
      </c>
      <c r="E147" s="8">
        <v>329.72959368080751</v>
      </c>
      <c r="F147" s="8">
        <v>1011.2775101282613</v>
      </c>
      <c r="G147" s="8">
        <v>413.05580385952248</v>
      </c>
      <c r="H147" s="8">
        <v>127.22312748352203</v>
      </c>
      <c r="I147" s="8">
        <v>540.27893134304452</v>
      </c>
      <c r="J147" s="12">
        <v>0.11701606431074303</v>
      </c>
      <c r="K147" s="12">
        <v>0.10610696672099118</v>
      </c>
      <c r="L147" s="8">
        <v>10.30973048682816</v>
      </c>
      <c r="M147" s="8">
        <v>5.6559212345879768</v>
      </c>
      <c r="N147" s="8">
        <v>17.596921719183484</v>
      </c>
      <c r="O147" s="8">
        <v>9.6014790340824163</v>
      </c>
      <c r="P147" s="15">
        <v>2.267704348036649</v>
      </c>
      <c r="Q147" s="15">
        <v>2.7196586755011132</v>
      </c>
      <c r="R147" s="8">
        <v>0.454670475539243</v>
      </c>
      <c r="S147" s="8">
        <v>0</v>
      </c>
      <c r="T147" s="8">
        <v>0.55975956888744105</v>
      </c>
      <c r="U147" s="8">
        <v>0</v>
      </c>
      <c r="V147" s="8">
        <v>1.9714226177824343</v>
      </c>
      <c r="W147" s="8">
        <v>0</v>
      </c>
      <c r="X147" s="8">
        <v>5824.3961669874934</v>
      </c>
      <c r="Y147" s="8">
        <v>3498.5765695246846</v>
      </c>
    </row>
    <row r="148" spans="1:25" x14ac:dyDescent="0.2">
      <c r="A148" s="6" t="str">
        <f t="shared" si="18"/>
        <v>6- WRAP PRM&amp;2026</v>
      </c>
      <c r="B148" s="6" t="str">
        <f>'Scenario List'!$A$8</f>
        <v>6- WRAP PRM</v>
      </c>
      <c r="C148" s="6">
        <v>2026</v>
      </c>
      <c r="D148" s="8">
        <v>690.74689313140925</v>
      </c>
      <c r="E148" s="8">
        <v>339.8144603627203</v>
      </c>
      <c r="F148" s="8">
        <v>1030.5613534941294</v>
      </c>
      <c r="G148" s="8">
        <v>311.98803705988752</v>
      </c>
      <c r="H148" s="8">
        <v>129.39971052109323</v>
      </c>
      <c r="I148" s="8">
        <v>441.38774758098077</v>
      </c>
      <c r="J148" s="12">
        <v>0.11923083197891172</v>
      </c>
      <c r="K148" s="12">
        <v>0.11026513249767424</v>
      </c>
      <c r="L148" s="8">
        <v>13.341458599449913</v>
      </c>
      <c r="M148" s="8">
        <v>7.2064432814762753</v>
      </c>
      <c r="N148" s="8">
        <v>23.107623407799366</v>
      </c>
      <c r="O148" s="8">
        <v>12.581112640366428</v>
      </c>
      <c r="P148" s="15">
        <v>1.357664703805691</v>
      </c>
      <c r="Q148" s="15">
        <v>1.4922093815351607</v>
      </c>
      <c r="R148" s="8">
        <v>1.4307627098382938</v>
      </c>
      <c r="S148" s="8">
        <v>0</v>
      </c>
      <c r="T148" s="8">
        <v>1.5898481240728632</v>
      </c>
      <c r="U148" s="8">
        <v>0</v>
      </c>
      <c r="V148" s="8">
        <v>2.9826784510598912</v>
      </c>
      <c r="W148" s="8">
        <v>0</v>
      </c>
      <c r="X148" s="8">
        <v>5793.3579902686679</v>
      </c>
      <c r="Y148" s="8">
        <v>3474.1532866075736</v>
      </c>
    </row>
    <row r="149" spans="1:25" x14ac:dyDescent="0.2">
      <c r="A149" s="6" t="str">
        <f t="shared" si="18"/>
        <v>6- WRAP PRM&amp;2027</v>
      </c>
      <c r="B149" s="6" t="str">
        <f>'Scenario List'!$A$8</f>
        <v>6- WRAP PRM</v>
      </c>
      <c r="C149" s="6">
        <v>2027</v>
      </c>
      <c r="D149" s="8">
        <v>710.46533679613856</v>
      </c>
      <c r="E149" s="8">
        <v>344.01817182204087</v>
      </c>
      <c r="F149" s="8">
        <v>1054.4835086181795</v>
      </c>
      <c r="G149" s="8">
        <v>309.78147055299041</v>
      </c>
      <c r="H149" s="8">
        <v>125.3073888576466</v>
      </c>
      <c r="I149" s="8">
        <v>435.08885941063704</v>
      </c>
      <c r="J149" s="12">
        <v>0.12183255327789125</v>
      </c>
      <c r="K149" s="12">
        <v>0.1108568447301356</v>
      </c>
      <c r="L149" s="8">
        <v>10.964947831150965</v>
      </c>
      <c r="M149" s="8">
        <v>6.0284324618854406</v>
      </c>
      <c r="N149" s="8">
        <v>16.108663556534339</v>
      </c>
      <c r="O149" s="8">
        <v>8.7664907784703985</v>
      </c>
      <c r="P149" s="15">
        <v>1.5322265533850044</v>
      </c>
      <c r="Q149" s="15">
        <v>1.4329042999731518</v>
      </c>
      <c r="R149" s="8">
        <v>3.1283509710090698</v>
      </c>
      <c r="S149" s="8">
        <v>0</v>
      </c>
      <c r="T149" s="8">
        <v>3.3425748974627796</v>
      </c>
      <c r="U149" s="8">
        <v>0</v>
      </c>
      <c r="V149" s="8">
        <v>4.0266198386112562</v>
      </c>
      <c r="W149" s="8">
        <v>0</v>
      </c>
      <c r="X149" s="8">
        <v>5831.4901697547002</v>
      </c>
      <c r="Y149" s="8">
        <v>3494.5419916183091</v>
      </c>
    </row>
    <row r="150" spans="1:25" x14ac:dyDescent="0.2">
      <c r="A150" s="6" t="str">
        <f t="shared" si="18"/>
        <v>6- WRAP PRM&amp;2028</v>
      </c>
      <c r="B150" s="6" t="str">
        <f>'Scenario List'!$A$8</f>
        <v>6- WRAP PRM</v>
      </c>
      <c r="C150" s="6">
        <v>2028</v>
      </c>
      <c r="D150" s="8">
        <v>737.30031047823775</v>
      </c>
      <c r="E150" s="8">
        <v>352.77531257186638</v>
      </c>
      <c r="F150" s="8">
        <v>1090.0756230501042</v>
      </c>
      <c r="G150" s="8">
        <v>315.46905651880303</v>
      </c>
      <c r="H150" s="8">
        <v>125.4248168563699</v>
      </c>
      <c r="I150" s="8">
        <v>440.89387337517292</v>
      </c>
      <c r="J150" s="12">
        <v>0.1255745689192945</v>
      </c>
      <c r="K150" s="12">
        <v>0.11293175259072039</v>
      </c>
      <c r="L150" s="8">
        <v>13.177140770960207</v>
      </c>
      <c r="M150" s="8">
        <v>7.289779369586844</v>
      </c>
      <c r="N150" s="8">
        <v>25.267662137634602</v>
      </c>
      <c r="O150" s="8">
        <v>14.1409188889414</v>
      </c>
      <c r="P150" s="15">
        <v>1.5730832543333055</v>
      </c>
      <c r="Q150" s="15">
        <v>1.4184150619134281</v>
      </c>
      <c r="R150" s="8">
        <v>3.7086057963520287</v>
      </c>
      <c r="S150" s="8">
        <v>0</v>
      </c>
      <c r="T150" s="8">
        <v>3.9784722455760702</v>
      </c>
      <c r="U150" s="8">
        <v>0</v>
      </c>
      <c r="V150" s="8">
        <v>5.0761915758608041</v>
      </c>
      <c r="W150" s="8">
        <v>0</v>
      </c>
      <c r="X150" s="8">
        <v>5871.4142268096748</v>
      </c>
      <c r="Y150" s="8">
        <v>3513.3453819902306</v>
      </c>
    </row>
    <row r="151" spans="1:25" x14ac:dyDescent="0.2">
      <c r="A151" s="6" t="str">
        <f t="shared" si="18"/>
        <v>6- WRAP PRM&amp;2029</v>
      </c>
      <c r="B151" s="6" t="str">
        <f>'Scenario List'!$A$8</f>
        <v>6- WRAP PRM</v>
      </c>
      <c r="C151" s="6">
        <v>2029</v>
      </c>
      <c r="D151" s="8">
        <v>762.45031511507636</v>
      </c>
      <c r="E151" s="8">
        <v>363.62796523678958</v>
      </c>
      <c r="F151" s="8">
        <v>1126.0782803518659</v>
      </c>
      <c r="G151" s="8">
        <v>317.35614824354161</v>
      </c>
      <c r="H151" s="8">
        <v>127.27763185965009</v>
      </c>
      <c r="I151" s="8">
        <v>444.63378010319173</v>
      </c>
      <c r="J151" s="12">
        <v>0.12906487392028268</v>
      </c>
      <c r="K151" s="12">
        <v>0.11555035632356443</v>
      </c>
      <c r="L151" s="8">
        <v>14.724044405520319</v>
      </c>
      <c r="M151" s="8">
        <v>8.1932685643771475</v>
      </c>
      <c r="N151" s="8">
        <v>23.966014056864765</v>
      </c>
      <c r="O151" s="8">
        <v>13.39999371036518</v>
      </c>
      <c r="P151" s="15">
        <v>1.5569681058365386</v>
      </c>
      <c r="Q151" s="15">
        <v>1.3845054987276737</v>
      </c>
      <c r="R151" s="8">
        <v>3.8710158394504548</v>
      </c>
      <c r="S151" s="8">
        <v>0</v>
      </c>
      <c r="T151" s="8">
        <v>4.1990773511034343</v>
      </c>
      <c r="U151" s="8">
        <v>0</v>
      </c>
      <c r="V151" s="8">
        <v>6.2330758716262515</v>
      </c>
      <c r="W151" s="8">
        <v>0</v>
      </c>
      <c r="X151" s="8">
        <v>5907.4966871776915</v>
      </c>
      <c r="Y151" s="8">
        <v>3534.3304275144451</v>
      </c>
    </row>
    <row r="152" spans="1:25" x14ac:dyDescent="0.2">
      <c r="A152" s="6" t="str">
        <f t="shared" si="18"/>
        <v>6- WRAP PRM&amp;2030</v>
      </c>
      <c r="B152" s="6" t="str">
        <f>'Scenario List'!$A$8</f>
        <v>6- WRAP PRM</v>
      </c>
      <c r="C152" s="6">
        <v>2030</v>
      </c>
      <c r="D152" s="8">
        <v>788.6522316606538</v>
      </c>
      <c r="E152" s="8">
        <v>375.06144493651459</v>
      </c>
      <c r="F152" s="8">
        <v>1163.7136765971684</v>
      </c>
      <c r="G152" s="8">
        <v>321.90421005191962</v>
      </c>
      <c r="H152" s="8">
        <v>129.59412747738355</v>
      </c>
      <c r="I152" s="8">
        <v>451.49833752930317</v>
      </c>
      <c r="J152" s="12">
        <v>0.13270745335852285</v>
      </c>
      <c r="K152" s="12">
        <v>0.11860658273753902</v>
      </c>
      <c r="L152" s="8">
        <v>12.474776463551638</v>
      </c>
      <c r="M152" s="8">
        <v>9.0406514837259344</v>
      </c>
      <c r="N152" s="8">
        <v>21.176850999020843</v>
      </c>
      <c r="O152" s="8">
        <v>16.404853896647211</v>
      </c>
      <c r="P152" s="15">
        <v>1.4533807708328601</v>
      </c>
      <c r="Q152" s="15">
        <v>1.4482233725931652</v>
      </c>
      <c r="R152" s="8">
        <v>18.108068845705507</v>
      </c>
      <c r="S152" s="8">
        <v>0</v>
      </c>
      <c r="T152" s="8">
        <v>27.228305936522677</v>
      </c>
      <c r="U152" s="8">
        <v>0</v>
      </c>
      <c r="V152" s="8">
        <v>666.52483931614233</v>
      </c>
      <c r="W152" s="8">
        <v>0</v>
      </c>
      <c r="X152" s="8">
        <v>5942.7877764335408</v>
      </c>
      <c r="Y152" s="8">
        <v>3553.4929095049542</v>
      </c>
    </row>
    <row r="153" spans="1:25" x14ac:dyDescent="0.2">
      <c r="A153" s="6" t="str">
        <f t="shared" si="18"/>
        <v>6- WRAP PRM&amp;2031</v>
      </c>
      <c r="B153" s="6" t="str">
        <f>'Scenario List'!$A$8</f>
        <v>6- WRAP PRM</v>
      </c>
      <c r="C153" s="6">
        <v>2031</v>
      </c>
      <c r="D153" s="8">
        <v>823.61234551355403</v>
      </c>
      <c r="E153" s="8">
        <v>389.25901961671678</v>
      </c>
      <c r="F153" s="8">
        <v>1212.8713651302708</v>
      </c>
      <c r="G153" s="8">
        <v>323.39086989410339</v>
      </c>
      <c r="H153" s="8">
        <v>134.17930328292903</v>
      </c>
      <c r="I153" s="8">
        <v>457.57017317703242</v>
      </c>
      <c r="J153" s="12">
        <v>0.13751685893445723</v>
      </c>
      <c r="K153" s="12">
        <v>0.1221982496761487</v>
      </c>
      <c r="L153" s="8">
        <v>11.199922016314797</v>
      </c>
      <c r="M153" s="8">
        <v>8.2718152087566068</v>
      </c>
      <c r="N153" s="8">
        <v>20.624991997849065</v>
      </c>
      <c r="O153" s="8">
        <v>14.309230418749934</v>
      </c>
      <c r="P153" s="15">
        <v>1.3682008060927986</v>
      </c>
      <c r="Q153" s="15">
        <v>1.3178533229172604</v>
      </c>
      <c r="R153" s="8">
        <v>17.486043113795098</v>
      </c>
      <c r="S153" s="8">
        <v>0</v>
      </c>
      <c r="T153" s="8">
        <v>26.558553598461749</v>
      </c>
      <c r="U153" s="8">
        <v>0</v>
      </c>
      <c r="V153" s="8">
        <v>666.28914895642981</v>
      </c>
      <c r="W153" s="8">
        <v>0</v>
      </c>
      <c r="X153" s="8">
        <v>5989.1736322024426</v>
      </c>
      <c r="Y153" s="8">
        <v>3576.7014469425026</v>
      </c>
    </row>
    <row r="154" spans="1:25" x14ac:dyDescent="0.2">
      <c r="A154" s="6" t="str">
        <f t="shared" si="18"/>
        <v>6- WRAP PRM&amp;2032</v>
      </c>
      <c r="B154" s="6" t="str">
        <f>'Scenario List'!$A$8</f>
        <v>6- WRAP PRM</v>
      </c>
      <c r="C154" s="6">
        <v>2032</v>
      </c>
      <c r="D154" s="8">
        <v>858.55397822689292</v>
      </c>
      <c r="E154" s="8">
        <v>401.36972863354151</v>
      </c>
      <c r="F154" s="8">
        <v>1259.9237068604343</v>
      </c>
      <c r="G154" s="8">
        <v>329.95600498161519</v>
      </c>
      <c r="H154" s="8">
        <v>136.34850397725882</v>
      </c>
      <c r="I154" s="8">
        <v>466.30450895887401</v>
      </c>
      <c r="J154" s="12">
        <v>0.14213940903069358</v>
      </c>
      <c r="K154" s="12">
        <v>0.12510079114430661</v>
      </c>
      <c r="L154" s="8">
        <v>9.2896766865172378</v>
      </c>
      <c r="M154" s="8">
        <v>9.0054763318477562</v>
      </c>
      <c r="N154" s="8">
        <v>15.833423772602757</v>
      </c>
      <c r="O154" s="8">
        <v>17.746678859437552</v>
      </c>
      <c r="P154" s="15">
        <v>1.2152278651247514</v>
      </c>
      <c r="Q154" s="15">
        <v>1.2400831169937785</v>
      </c>
      <c r="R154" s="8">
        <v>67.066083623829897</v>
      </c>
      <c r="S154" s="8">
        <v>0</v>
      </c>
      <c r="T154" s="8">
        <v>65.063076658737131</v>
      </c>
      <c r="U154" s="8">
        <v>0</v>
      </c>
      <c r="V154" s="8">
        <v>1495.3176920500123</v>
      </c>
      <c r="W154" s="8">
        <v>0</v>
      </c>
      <c r="X154" s="8">
        <v>6040.2247630106358</v>
      </c>
      <c r="Y154" s="8">
        <v>3600.3136729037583</v>
      </c>
    </row>
    <row r="155" spans="1:25" x14ac:dyDescent="0.2">
      <c r="A155" s="6" t="str">
        <f t="shared" si="18"/>
        <v>6- WRAP PRM&amp;2033</v>
      </c>
      <c r="B155" s="6" t="str">
        <f>'Scenario List'!$A$8</f>
        <v>6- WRAP PRM</v>
      </c>
      <c r="C155" s="6">
        <v>2033</v>
      </c>
      <c r="D155" s="8">
        <v>884.69270749168606</v>
      </c>
      <c r="E155" s="8">
        <v>412.97955259954017</v>
      </c>
      <c r="F155" s="8">
        <v>1297.6722600912262</v>
      </c>
      <c r="G155" s="8">
        <v>329.80942102600312</v>
      </c>
      <c r="H155" s="8">
        <v>137.53516761636826</v>
      </c>
      <c r="I155" s="8">
        <v>467.34458864237138</v>
      </c>
      <c r="J155" s="12">
        <v>0.14535521460022205</v>
      </c>
      <c r="K155" s="12">
        <v>0.12763317155893</v>
      </c>
      <c r="L155" s="8">
        <v>9.6028847332392271</v>
      </c>
      <c r="M155" s="8">
        <v>8.93087415901371</v>
      </c>
      <c r="N155" s="8">
        <v>15.450937855488164</v>
      </c>
      <c r="O155" s="8">
        <v>15.968598936448444</v>
      </c>
      <c r="P155" s="15">
        <v>1.202802496063399</v>
      </c>
      <c r="Q155" s="15">
        <v>1.2104176768359198</v>
      </c>
      <c r="R155" s="8">
        <v>66.218261433744161</v>
      </c>
      <c r="S155" s="8">
        <v>0</v>
      </c>
      <c r="T155" s="8">
        <v>64.312025776635636</v>
      </c>
      <c r="U155" s="8">
        <v>0</v>
      </c>
      <c r="V155" s="8">
        <v>1490.3457192427115</v>
      </c>
      <c r="W155" s="8">
        <v>0</v>
      </c>
      <c r="X155" s="8">
        <v>6086.4187770965227</v>
      </c>
      <c r="Y155" s="8">
        <v>3626.0859921475508</v>
      </c>
    </row>
    <row r="156" spans="1:25" x14ac:dyDescent="0.2">
      <c r="A156" s="6" t="str">
        <f t="shared" si="18"/>
        <v>6- WRAP PRM&amp;2034</v>
      </c>
      <c r="B156" s="6" t="str">
        <f>'Scenario List'!$A$8</f>
        <v>6- WRAP PRM</v>
      </c>
      <c r="C156" s="6">
        <v>2034</v>
      </c>
      <c r="D156" s="8">
        <v>895.69507499476708</v>
      </c>
      <c r="E156" s="8">
        <v>415.86726663725244</v>
      </c>
      <c r="F156" s="8">
        <v>1311.5623416320195</v>
      </c>
      <c r="G156" s="8">
        <v>314.15033392593426</v>
      </c>
      <c r="H156" s="8">
        <v>129.60841309387092</v>
      </c>
      <c r="I156" s="8">
        <v>443.75874701980518</v>
      </c>
      <c r="J156" s="12">
        <v>0.14594207398420228</v>
      </c>
      <c r="K156" s="12">
        <v>0.12744179362408453</v>
      </c>
      <c r="L156" s="8">
        <v>9.9077227472150025</v>
      </c>
      <c r="M156" s="8">
        <v>10.386604710389417</v>
      </c>
      <c r="N156" s="8">
        <v>17.555710057276457</v>
      </c>
      <c r="O156" s="8">
        <v>18.783664499074789</v>
      </c>
      <c r="P156" s="15">
        <v>1.2912106304367361</v>
      </c>
      <c r="Q156" s="15">
        <v>1.1830499255774227</v>
      </c>
      <c r="R156" s="8">
        <v>65.272366063020755</v>
      </c>
      <c r="S156" s="8">
        <v>0</v>
      </c>
      <c r="T156" s="8">
        <v>63.410047740802248</v>
      </c>
      <c r="U156" s="8">
        <v>0</v>
      </c>
      <c r="V156" s="8">
        <v>1487.9553894273765</v>
      </c>
      <c r="W156" s="8">
        <v>0</v>
      </c>
      <c r="X156" s="8">
        <v>6137.3327824005219</v>
      </c>
      <c r="Y156" s="8">
        <v>3652.6644522184483</v>
      </c>
    </row>
    <row r="157" spans="1:25" x14ac:dyDescent="0.2">
      <c r="A157" s="6" t="str">
        <f t="shared" si="18"/>
        <v>6- WRAP PRM&amp;2035</v>
      </c>
      <c r="B157" s="6" t="str">
        <f>'Scenario List'!$A$8</f>
        <v>6- WRAP PRM</v>
      </c>
      <c r="C157" s="6">
        <v>2035</v>
      </c>
      <c r="D157" s="8">
        <v>930.48830667669779</v>
      </c>
      <c r="E157" s="8">
        <v>440.99983917745749</v>
      </c>
      <c r="F157" s="8">
        <v>1371.4881458541554</v>
      </c>
      <c r="G157" s="8">
        <v>324.27651701721732</v>
      </c>
      <c r="H157" s="8">
        <v>143.63752464936215</v>
      </c>
      <c r="I157" s="8">
        <v>467.91404166657946</v>
      </c>
      <c r="J157" s="12">
        <v>0.15031930873860047</v>
      </c>
      <c r="K157" s="12">
        <v>0.13408027428664976</v>
      </c>
      <c r="L157" s="8">
        <v>10.986122245522269</v>
      </c>
      <c r="M157" s="8">
        <v>11.171276611827299</v>
      </c>
      <c r="N157" s="8">
        <v>18.404958541916812</v>
      </c>
      <c r="O157" s="8">
        <v>21.417215749258261</v>
      </c>
      <c r="P157" s="15">
        <v>1.336947337610743</v>
      </c>
      <c r="Q157" s="15">
        <v>1.2947800387277948</v>
      </c>
      <c r="R157" s="8">
        <v>64.433679530781831</v>
      </c>
      <c r="S157" s="8">
        <v>88.620796747508805</v>
      </c>
      <c r="T157" s="8">
        <v>62.613569942152196</v>
      </c>
      <c r="U157" s="8">
        <v>83.593377839228708</v>
      </c>
      <c r="V157" s="8">
        <v>1498.7934191778395</v>
      </c>
      <c r="W157" s="8">
        <v>200.27988926245121</v>
      </c>
      <c r="X157" s="8">
        <v>6190.0784036652367</v>
      </c>
      <c r="Y157" s="8">
        <v>3680.4057821744514</v>
      </c>
    </row>
    <row r="158" spans="1:25" x14ac:dyDescent="0.2">
      <c r="A158" s="6" t="str">
        <f t="shared" si="18"/>
        <v>6- WRAP PRM&amp;2036</v>
      </c>
      <c r="B158" s="6" t="str">
        <f>'Scenario List'!$A$8</f>
        <v>6- WRAP PRM</v>
      </c>
      <c r="C158" s="6">
        <v>2036</v>
      </c>
      <c r="D158" s="8">
        <v>974.91673311418094</v>
      </c>
      <c r="E158" s="8">
        <v>453.3119526550928</v>
      </c>
      <c r="F158" s="8">
        <v>1428.2286857692739</v>
      </c>
      <c r="G158" s="8">
        <v>341.63154945651593</v>
      </c>
      <c r="H158" s="8">
        <v>144.46247400922991</v>
      </c>
      <c r="I158" s="8">
        <v>486.09402346574586</v>
      </c>
      <c r="J158" s="12">
        <v>0.15603348580212395</v>
      </c>
      <c r="K158" s="12">
        <v>0.13666798746592634</v>
      </c>
      <c r="L158" s="8">
        <v>11.415526413729026</v>
      </c>
      <c r="M158" s="8">
        <v>11.419822119595944</v>
      </c>
      <c r="N158" s="8">
        <v>20.048577913380115</v>
      </c>
      <c r="O158" s="8">
        <v>20.146018346367242</v>
      </c>
      <c r="P158" s="15">
        <v>1.3085404732670738</v>
      </c>
      <c r="Q158" s="15">
        <v>1.2819257524074588</v>
      </c>
      <c r="R158" s="8">
        <v>118.03662228228698</v>
      </c>
      <c r="S158" s="8">
        <v>88.620796747508805</v>
      </c>
      <c r="T158" s="8">
        <v>118.56285847526178</v>
      </c>
      <c r="U158" s="8">
        <v>84.883276471015904</v>
      </c>
      <c r="V158" s="8">
        <v>1257.4287225888743</v>
      </c>
      <c r="W158" s="8">
        <v>211.26893923025565</v>
      </c>
      <c r="X158" s="8">
        <v>6248.1250617610067</v>
      </c>
      <c r="Y158" s="8">
        <v>3709.0992423446933</v>
      </c>
    </row>
    <row r="159" spans="1:25" x14ac:dyDescent="0.2">
      <c r="A159" s="6" t="str">
        <f t="shared" si="18"/>
        <v>6- WRAP PRM&amp;2037</v>
      </c>
      <c r="B159" s="6" t="str">
        <f>'Scenario List'!$A$8</f>
        <v>6- WRAP PRM</v>
      </c>
      <c r="C159" s="6">
        <v>2037</v>
      </c>
      <c r="D159" s="8">
        <v>1009.2504033378002</v>
      </c>
      <c r="E159" s="8">
        <v>468.42644366642446</v>
      </c>
      <c r="F159" s="8">
        <v>1477.6768470042248</v>
      </c>
      <c r="G159" s="8">
        <v>348.43535708376396</v>
      </c>
      <c r="H159" s="8">
        <v>147.57776292675354</v>
      </c>
      <c r="I159" s="8">
        <v>496.01312001051747</v>
      </c>
      <c r="J159" s="12">
        <v>0.16014155735181898</v>
      </c>
      <c r="K159" s="12">
        <v>0.13989465957930342</v>
      </c>
      <c r="L159" s="8">
        <v>12.687955013146746</v>
      </c>
      <c r="M159" s="8">
        <v>12.376822435670585</v>
      </c>
      <c r="N159" s="8">
        <v>21.891063837070035</v>
      </c>
      <c r="O159" s="8">
        <v>21.81891612787075</v>
      </c>
      <c r="P159" s="15">
        <v>1.2319774215443937</v>
      </c>
      <c r="Q159" s="15">
        <v>1.2508104403731741</v>
      </c>
      <c r="R159" s="8">
        <v>117.18387837545397</v>
      </c>
      <c r="S159" s="8">
        <v>88.620796747508805</v>
      </c>
      <c r="T159" s="8">
        <v>117.76390279455393</v>
      </c>
      <c r="U159" s="8">
        <v>84.873036689436475</v>
      </c>
      <c r="V159" s="8">
        <v>1253.3205599146754</v>
      </c>
      <c r="W159" s="8">
        <v>203.10870303463813</v>
      </c>
      <c r="X159" s="8">
        <v>6302.2392190214114</v>
      </c>
      <c r="Y159" s="8">
        <v>3740.1345693164808</v>
      </c>
    </row>
    <row r="160" spans="1:25" x14ac:dyDescent="0.2">
      <c r="A160" s="6" t="str">
        <f t="shared" si="18"/>
        <v>6- WRAP PRM&amp;2038</v>
      </c>
      <c r="B160" s="6" t="str">
        <f>'Scenario List'!$A$8</f>
        <v>6- WRAP PRM</v>
      </c>
      <c r="C160" s="6">
        <v>2038</v>
      </c>
      <c r="D160" s="8">
        <v>1052.6139670202965</v>
      </c>
      <c r="E160" s="8">
        <v>485.10898550604657</v>
      </c>
      <c r="F160" s="8">
        <v>1537.7229525263431</v>
      </c>
      <c r="G160" s="8">
        <v>359.60815084568651</v>
      </c>
      <c r="H160" s="8">
        <v>151.57260190797487</v>
      </c>
      <c r="I160" s="8">
        <v>511.18075275366141</v>
      </c>
      <c r="J160" s="12">
        <v>0.16544700881053881</v>
      </c>
      <c r="K160" s="12">
        <v>0.14346568404289023</v>
      </c>
      <c r="L160" s="8">
        <v>14.607303508823312</v>
      </c>
      <c r="M160" s="8">
        <v>14.336802200505922</v>
      </c>
      <c r="N160" s="8">
        <v>23.93224437564858</v>
      </c>
      <c r="O160" s="8">
        <v>26.203132561310412</v>
      </c>
      <c r="P160" s="15">
        <v>1.4346364038318888</v>
      </c>
      <c r="Q160" s="15">
        <v>1.2011049692013929</v>
      </c>
      <c r="R160" s="8">
        <v>165.3472035549737</v>
      </c>
      <c r="S160" s="8">
        <v>88.620796747508805</v>
      </c>
      <c r="T160" s="8">
        <v>165.97046173497506</v>
      </c>
      <c r="U160" s="8">
        <v>84.873036689436475</v>
      </c>
      <c r="V160" s="8">
        <v>998.99863434541078</v>
      </c>
      <c r="W160" s="8">
        <v>204.2155618985561</v>
      </c>
      <c r="X160" s="8">
        <v>6362.2423553495282</v>
      </c>
      <c r="Y160" s="8">
        <v>3772.5299022207173</v>
      </c>
    </row>
    <row r="161" spans="1:25" x14ac:dyDescent="0.2">
      <c r="A161" s="6" t="str">
        <f t="shared" si="18"/>
        <v>6- WRAP PRM&amp;2039</v>
      </c>
      <c r="B161" s="6" t="str">
        <f>'Scenario List'!$A$8</f>
        <v>6- WRAP PRM</v>
      </c>
      <c r="C161" s="6">
        <v>2039</v>
      </c>
      <c r="D161" s="8">
        <v>1097.8228631923685</v>
      </c>
      <c r="E161" s="8">
        <v>507.09786769114396</v>
      </c>
      <c r="F161" s="8">
        <v>1604.9207308835125</v>
      </c>
      <c r="G161" s="8">
        <v>375.73543695326981</v>
      </c>
      <c r="H161" s="8">
        <v>160.60668128913994</v>
      </c>
      <c r="I161" s="8">
        <v>536.3421182424097</v>
      </c>
      <c r="J161" s="12">
        <v>0.17085449471858213</v>
      </c>
      <c r="K161" s="12">
        <v>0.14849916721209763</v>
      </c>
      <c r="L161" s="8">
        <v>13.845217935916672</v>
      </c>
      <c r="M161" s="8">
        <v>14.18059242812488</v>
      </c>
      <c r="N161" s="8">
        <v>25.022226990612253</v>
      </c>
      <c r="O161" s="8">
        <v>25.802593867397817</v>
      </c>
      <c r="P161" s="15">
        <v>1.4889906909247801</v>
      </c>
      <c r="Q161" s="15">
        <v>1.1871182349793816</v>
      </c>
      <c r="R161" s="8">
        <v>164.55004078441365</v>
      </c>
      <c r="S161" s="8">
        <v>88.620796747508805</v>
      </c>
      <c r="T161" s="8">
        <v>165.21027307371989</v>
      </c>
      <c r="U161" s="8">
        <v>84.873036689436475</v>
      </c>
      <c r="V161" s="8">
        <v>986.87190817378587</v>
      </c>
      <c r="W161" s="8">
        <v>203.06867207956608</v>
      </c>
      <c r="X161" s="8">
        <v>6425.484240263123</v>
      </c>
      <c r="Y161" s="8">
        <v>3806.561960826225</v>
      </c>
    </row>
    <row r="162" spans="1:25" x14ac:dyDescent="0.2">
      <c r="A162" s="6" t="str">
        <f t="shared" si="18"/>
        <v>6- WRAP PRM&amp;2040</v>
      </c>
      <c r="B162" s="6" t="str">
        <f>'Scenario List'!$A$8</f>
        <v>6- WRAP PRM</v>
      </c>
      <c r="C162" s="6">
        <v>2040</v>
      </c>
      <c r="D162" s="8">
        <v>1134.1753086586691</v>
      </c>
      <c r="E162" s="8">
        <v>524.84943606160607</v>
      </c>
      <c r="F162" s="8">
        <v>1659.0247447202751</v>
      </c>
      <c r="G162" s="8">
        <v>381.90581946403984</v>
      </c>
      <c r="H162" s="8">
        <v>164.9368779979186</v>
      </c>
      <c r="I162" s="8">
        <v>546.84269746195844</v>
      </c>
      <c r="J162" s="12">
        <v>0.17460160693086152</v>
      </c>
      <c r="K162" s="12">
        <v>0.15215547883262751</v>
      </c>
      <c r="L162" s="8">
        <v>15.675571334343841</v>
      </c>
      <c r="M162" s="8">
        <v>15.492859719107821</v>
      </c>
      <c r="N162" s="8">
        <v>29.340831041434683</v>
      </c>
      <c r="O162" s="8">
        <v>31.180933957575476</v>
      </c>
      <c r="P162" s="15">
        <v>1.6080870613720157</v>
      </c>
      <c r="Q162" s="15">
        <v>1.1726772544458059</v>
      </c>
      <c r="R162" s="8">
        <v>195.32007197983626</v>
      </c>
      <c r="S162" s="8">
        <v>106.06479674750881</v>
      </c>
      <c r="T162" s="8">
        <v>196.0058769008636</v>
      </c>
      <c r="U162" s="8">
        <v>102.32727647101592</v>
      </c>
      <c r="V162" s="8">
        <v>805.37293345847422</v>
      </c>
      <c r="W162" s="8">
        <v>118.91921246158788</v>
      </c>
      <c r="X162" s="8">
        <v>6495.7896355889679</v>
      </c>
      <c r="Y162" s="8">
        <v>3842.4963672606136</v>
      </c>
    </row>
    <row r="163" spans="1:25" x14ac:dyDescent="0.2">
      <c r="A163" s="6" t="str">
        <f t="shared" si="18"/>
        <v>6- WRAP PRM&amp;2041</v>
      </c>
      <c r="B163" s="6" t="str">
        <f>'Scenario List'!$A$8</f>
        <v>6- WRAP PRM</v>
      </c>
      <c r="C163" s="6">
        <v>2041</v>
      </c>
      <c r="D163" s="8">
        <v>1175.5186303935689</v>
      </c>
      <c r="E163" s="8">
        <v>533.32505470406636</v>
      </c>
      <c r="F163" s="8">
        <v>1708.8436850976352</v>
      </c>
      <c r="G163" s="8">
        <v>387.84260883547182</v>
      </c>
      <c r="H163" s="8">
        <v>159.54815573018431</v>
      </c>
      <c r="I163" s="8">
        <v>547.39076456565613</v>
      </c>
      <c r="J163" s="12">
        <v>0.1790872230081669</v>
      </c>
      <c r="K163" s="12">
        <v>0.15283635319523706</v>
      </c>
      <c r="L163" s="8">
        <v>14.87672851004158</v>
      </c>
      <c r="M163" s="8">
        <v>15.290011898620993</v>
      </c>
      <c r="N163" s="8">
        <v>25.509253565577666</v>
      </c>
      <c r="O163" s="8">
        <v>27.477398849978258</v>
      </c>
      <c r="P163" s="15">
        <v>1.5255605905087557</v>
      </c>
      <c r="Q163" s="15">
        <v>1.1303651712278311</v>
      </c>
      <c r="R163" s="8">
        <v>265.21076126694402</v>
      </c>
      <c r="S163" s="8">
        <v>133.00718397333429</v>
      </c>
      <c r="T163" s="8">
        <v>267.30252529601307</v>
      </c>
      <c r="U163" s="8">
        <v>129.25942391526198</v>
      </c>
      <c r="V163" s="8">
        <v>930.02568049495733</v>
      </c>
      <c r="W163" s="8">
        <v>-27.626507102064977</v>
      </c>
      <c r="X163" s="8">
        <v>6563.944711678073</v>
      </c>
      <c r="Y163" s="8">
        <v>3881.4551222222117</v>
      </c>
    </row>
    <row r="164" spans="1:25" x14ac:dyDescent="0.2">
      <c r="A164" s="6" t="str">
        <f t="shared" si="18"/>
        <v>6- WRAP PRM&amp;2042</v>
      </c>
      <c r="B164" s="6" t="str">
        <f>'Scenario List'!$A$8</f>
        <v>6- WRAP PRM</v>
      </c>
      <c r="C164" s="6">
        <v>2042</v>
      </c>
      <c r="D164" s="8">
        <v>1262.4892343142683</v>
      </c>
      <c r="E164" s="8">
        <v>564.81828328547101</v>
      </c>
      <c r="F164" s="8">
        <v>1827.3075175997392</v>
      </c>
      <c r="G164" s="8">
        <v>396.0137925802722</v>
      </c>
      <c r="H164" s="8">
        <v>176.43245686055852</v>
      </c>
      <c r="I164" s="8">
        <v>572.44624944083068</v>
      </c>
      <c r="J164" s="12">
        <v>0.19012407271313359</v>
      </c>
      <c r="K164" s="12">
        <v>0.15995268081921049</v>
      </c>
      <c r="L164" s="8">
        <v>17.436404410108604</v>
      </c>
      <c r="M164" s="8">
        <v>20.7178778675407</v>
      </c>
      <c r="N164" s="8">
        <v>28.504194163843366</v>
      </c>
      <c r="O164" s="8">
        <v>40.178263047205704</v>
      </c>
      <c r="P164" s="15">
        <v>1.3569230061622981</v>
      </c>
      <c r="Q164" s="15">
        <v>0.91038688120517852</v>
      </c>
      <c r="R164" s="8">
        <v>447.98160038199211</v>
      </c>
      <c r="S164" s="8">
        <v>252.59370976504201</v>
      </c>
      <c r="T164" s="8">
        <v>447.79250427577563</v>
      </c>
      <c r="U164" s="8">
        <v>242.06185857931169</v>
      </c>
      <c r="V164" s="8">
        <v>738.93403434480172</v>
      </c>
      <c r="W164" s="8">
        <v>254.36679083591</v>
      </c>
      <c r="X164" s="8">
        <v>6640.3439411860272</v>
      </c>
      <c r="Y164" s="8">
        <v>3922.7274141706944</v>
      </c>
    </row>
    <row r="165" spans="1:25" x14ac:dyDescent="0.2">
      <c r="A165" s="6" t="str">
        <f t="shared" si="18"/>
        <v>6- WRAP PRM&amp;2043</v>
      </c>
      <c r="B165" s="6" t="str">
        <f>'Scenario List'!$A$8</f>
        <v>6- WRAP PRM</v>
      </c>
      <c r="C165" s="6">
        <v>2043</v>
      </c>
      <c r="D165" s="8">
        <v>1327.2090587538394</v>
      </c>
      <c r="E165" s="8">
        <v>593.52260006281733</v>
      </c>
      <c r="F165" s="8">
        <v>1920.7316588166568</v>
      </c>
      <c r="G165" s="8">
        <v>428.23317332071093</v>
      </c>
      <c r="H165" s="8">
        <v>190.17886250862838</v>
      </c>
      <c r="I165" s="8">
        <v>618.41203582933929</v>
      </c>
      <c r="J165" s="12">
        <v>0.19742974039195915</v>
      </c>
      <c r="K165" s="12">
        <v>0.166012497617958</v>
      </c>
      <c r="L165" s="8">
        <v>18.810837396694449</v>
      </c>
      <c r="M165" s="8">
        <v>20.787435046960564</v>
      </c>
      <c r="N165" s="8">
        <v>35.164747247315567</v>
      </c>
      <c r="O165" s="8">
        <v>39.513540082176064</v>
      </c>
      <c r="P165" s="15">
        <v>1.5199638206899571</v>
      </c>
      <c r="Q165" s="15">
        <v>0.91511980607495724</v>
      </c>
      <c r="R165" s="8">
        <v>489.88799771976079</v>
      </c>
      <c r="S165" s="8">
        <v>276.33891963059159</v>
      </c>
      <c r="T165" s="8">
        <v>489.67805731487601</v>
      </c>
      <c r="U165" s="8">
        <v>265.80706844486127</v>
      </c>
      <c r="V165" s="8">
        <v>506.98513934592989</v>
      </c>
      <c r="W165" s="8">
        <v>137.74874669538252</v>
      </c>
      <c r="X165" s="8">
        <v>6722.4373395766943</v>
      </c>
      <c r="Y165" s="8">
        <v>3966.7914977523728</v>
      </c>
    </row>
    <row r="166" spans="1:25" x14ac:dyDescent="0.2">
      <c r="A166" s="6" t="str">
        <f t="shared" si="18"/>
        <v>6- WRAP PRM&amp;2044</v>
      </c>
      <c r="B166" s="6" t="str">
        <f>'Scenario List'!$A$8</f>
        <v>6- WRAP PRM</v>
      </c>
      <c r="C166" s="6">
        <v>2044</v>
      </c>
      <c r="D166" s="8">
        <v>1403.4354073177874</v>
      </c>
      <c r="E166" s="8">
        <v>621.33390248515195</v>
      </c>
      <c r="F166" s="8">
        <v>2024.7693098029395</v>
      </c>
      <c r="G166" s="8">
        <v>474.83801634464817</v>
      </c>
      <c r="H166" s="8">
        <v>202.34993258089699</v>
      </c>
      <c r="I166" s="8">
        <v>677.18794892554513</v>
      </c>
      <c r="J166" s="12">
        <v>0.2059484420989981</v>
      </c>
      <c r="K166" s="12">
        <v>0.17156347636051084</v>
      </c>
      <c r="L166" s="8">
        <v>20.366580546629926</v>
      </c>
      <c r="M166" s="8">
        <v>24.985362524306911</v>
      </c>
      <c r="N166" s="8">
        <v>35.099481826691353</v>
      </c>
      <c r="O166" s="8">
        <v>44.098420244964629</v>
      </c>
      <c r="P166" s="15">
        <v>1.5333982301156475</v>
      </c>
      <c r="Q166" s="15">
        <v>1.011004596298182</v>
      </c>
      <c r="R166" s="8">
        <v>531.65514533008957</v>
      </c>
      <c r="S166" s="8">
        <v>293.78291963059155</v>
      </c>
      <c r="T166" s="8">
        <v>538.17658630121355</v>
      </c>
      <c r="U166" s="8">
        <v>283.27984399454903</v>
      </c>
      <c r="V166" s="8">
        <v>992.05093049777622</v>
      </c>
      <c r="W166" s="8">
        <v>133.71672994783015</v>
      </c>
      <c r="X166" s="8">
        <v>6814.4987794720246</v>
      </c>
      <c r="Y166" s="8">
        <v>4014.5877152886555</v>
      </c>
    </row>
    <row r="167" spans="1:25" x14ac:dyDescent="0.2">
      <c r="A167" s="6" t="str">
        <f t="shared" si="18"/>
        <v>6- WRAP PRM&amp;2045</v>
      </c>
      <c r="B167" s="6" t="str">
        <f>'Scenario List'!$A$8</f>
        <v>6- WRAP PRM</v>
      </c>
      <c r="C167" s="6">
        <v>2045</v>
      </c>
      <c r="D167" s="8">
        <v>1671.4363247692172</v>
      </c>
      <c r="E167" s="8">
        <v>681.91406676137808</v>
      </c>
      <c r="F167" s="8">
        <v>2353.3503915305955</v>
      </c>
      <c r="G167" s="8">
        <v>612.14470832904124</v>
      </c>
      <c r="H167" s="8">
        <v>246.46190129901245</v>
      </c>
      <c r="I167" s="8">
        <v>858.60660962805366</v>
      </c>
      <c r="J167" s="12">
        <v>0.24197065133684836</v>
      </c>
      <c r="K167" s="12">
        <v>0.18555078866115138</v>
      </c>
      <c r="L167" s="8">
        <v>23.368788546900223</v>
      </c>
      <c r="M167" s="8">
        <v>24.085129002118645</v>
      </c>
      <c r="N167" s="8">
        <v>38.863129425333781</v>
      </c>
      <c r="O167" s="8">
        <v>44.892636565711641</v>
      </c>
      <c r="P167" s="15">
        <v>0.95819774865625862</v>
      </c>
      <c r="Q167" s="15">
        <v>0.57662421016115184</v>
      </c>
      <c r="R167" s="8">
        <v>1052.5857307544875</v>
      </c>
      <c r="S167" s="8">
        <v>382.4037163781004</v>
      </c>
      <c r="T167" s="8">
        <v>1036.1205982730526</v>
      </c>
      <c r="U167" s="8">
        <v>365.5647874338822</v>
      </c>
      <c r="V167" s="8">
        <v>2065.8723372094801</v>
      </c>
      <c r="W167" s="8">
        <v>329.76648443337461</v>
      </c>
      <c r="X167" s="8">
        <v>6907.599394946471</v>
      </c>
      <c r="Y167" s="8">
        <v>4066.8707546530773</v>
      </c>
    </row>
    <row r="168" spans="1:25" x14ac:dyDescent="0.2">
      <c r="A168" s="6" t="str">
        <f t="shared" si="18"/>
        <v>6- WRAP PRM&amp;NPV</v>
      </c>
      <c r="B168" s="6" t="str">
        <f>'Scenario List'!$A$8</f>
        <v>6- WRAP PRM</v>
      </c>
      <c r="C168" s="3" t="s">
        <v>6</v>
      </c>
      <c r="D168" s="16">
        <f t="shared" ref="D168:I168" si="23">NPV($B$1,D144:D167)</f>
        <v>10197.671986382649</v>
      </c>
      <c r="E168" s="16">
        <f t="shared" si="23"/>
        <v>4782.9415034261938</v>
      </c>
      <c r="F168" s="16">
        <f>NPV($B$1,F144:F167)</f>
        <v>14980.613489808844</v>
      </c>
      <c r="G168" s="16">
        <f t="shared" si="23"/>
        <v>4256.7184580899102</v>
      </c>
      <c r="H168" s="16">
        <f t="shared" si="23"/>
        <v>1652.1126408260859</v>
      </c>
      <c r="I168" s="16">
        <f t="shared" si="23"/>
        <v>5908.8310989159936</v>
      </c>
      <c r="L168" s="52">
        <f t="shared" ref="L168:Q168" si="24">NPV($B$1,L144:L167)</f>
        <v>155.59014036541816</v>
      </c>
      <c r="M168" s="52">
        <f t="shared" si="24"/>
        <v>121.9092726439616</v>
      </c>
      <c r="N168" s="52">
        <f t="shared" si="24"/>
        <v>266.04348751238427</v>
      </c>
      <c r="O168" s="52">
        <f t="shared" si="24"/>
        <v>218.93311269725609</v>
      </c>
      <c r="P168" s="52">
        <f t="shared" si="24"/>
        <v>19.165575241660715</v>
      </c>
      <c r="Q168" s="52">
        <f t="shared" si="24"/>
        <v>19.114806237364057</v>
      </c>
      <c r="X168" s="52">
        <f>-PMT($B$1,22,NPV($B$1,X146:X167))</f>
        <v>6094.9061871340964</v>
      </c>
      <c r="Y168" s="52">
        <f>-PMT($B$1,22,NPV($B$1,Y146:Y167))</f>
        <v>3634.1521170028973</v>
      </c>
    </row>
    <row r="169" spans="1:25" x14ac:dyDescent="0.2">
      <c r="A169" s="6" t="str">
        <f t="shared" si="18"/>
        <v>6- WRAP PRM&amp;Levelized</v>
      </c>
      <c r="B169" s="6" t="str">
        <f>'Scenario List'!$A$8</f>
        <v>6- WRAP PRM</v>
      </c>
      <c r="C169" s="3" t="s">
        <v>7</v>
      </c>
      <c r="D169" s="16">
        <f t="shared" ref="D169:I169" si="25">-PMT($B$1,COUNT(D144:D167),D168)</f>
        <v>867.16064439857394</v>
      </c>
      <c r="E169" s="16">
        <f t="shared" si="25"/>
        <v>406.71818448074879</v>
      </c>
      <c r="F169" s="16">
        <f t="shared" si="25"/>
        <v>1273.8788288793228</v>
      </c>
      <c r="G169" s="16">
        <f t="shared" si="25"/>
        <v>361.97072489384175</v>
      </c>
      <c r="H169" s="16">
        <f t="shared" si="25"/>
        <v>140.48765876671146</v>
      </c>
      <c r="I169" s="16">
        <f t="shared" si="25"/>
        <v>502.45838366055301</v>
      </c>
      <c r="L169" s="52">
        <f t="shared" ref="L169:Q169" si="26">-PMT($B$1,COUNT(L144:L167),L168)</f>
        <v>13.230632105200749</v>
      </c>
      <c r="M169" s="52">
        <f t="shared" si="26"/>
        <v>10.366574210786977</v>
      </c>
      <c r="N169" s="52">
        <f t="shared" si="26"/>
        <v>22.623049886027822</v>
      </c>
      <c r="O169" s="52">
        <f t="shared" si="26"/>
        <v>18.617011739566895</v>
      </c>
      <c r="P169" s="52">
        <f t="shared" si="26"/>
        <v>1.6297477109501763</v>
      </c>
      <c r="Q169" s="52">
        <f t="shared" si="26"/>
        <v>1.6254305606691952</v>
      </c>
    </row>
    <row r="170" spans="1:25" x14ac:dyDescent="0.2">
      <c r="A170" s="6" t="str">
        <f t="shared" si="18"/>
        <v>&amp;</v>
      </c>
      <c r="C170" s="3"/>
      <c r="D170" s="16"/>
      <c r="E170" s="16"/>
      <c r="F170" s="16"/>
      <c r="G170" s="16"/>
      <c r="H170" s="16"/>
      <c r="I170" s="16"/>
      <c r="L170" s="52"/>
      <c r="M170" s="52"/>
      <c r="N170" s="52"/>
      <c r="O170" s="52"/>
      <c r="P170" s="52"/>
      <c r="Q170" s="52"/>
    </row>
    <row r="171" spans="1:25" x14ac:dyDescent="0.2">
      <c r="A171" s="6" t="str">
        <f t="shared" si="18"/>
        <v>&amp;</v>
      </c>
    </row>
    <row r="172" spans="1:25" x14ac:dyDescent="0.2">
      <c r="A172" s="6" t="str">
        <f t="shared" si="18"/>
        <v>7- WRAP PRM No QCC Changes&amp;2023</v>
      </c>
      <c r="B172" s="6" t="str">
        <f>'Scenario List'!$A$9</f>
        <v>7- WRAP PRM No QCC Changes</v>
      </c>
      <c r="C172" s="6">
        <v>2023</v>
      </c>
      <c r="D172" s="8">
        <v>644.35154283410634</v>
      </c>
      <c r="E172" s="8">
        <v>316.40138009082034</v>
      </c>
      <c r="F172" s="8">
        <v>960.75292292492668</v>
      </c>
      <c r="G172" s="8">
        <v>410.76876872279695</v>
      </c>
      <c r="H172" s="8">
        <v>125.83775642231645</v>
      </c>
      <c r="I172" s="8">
        <v>536.60652514511344</v>
      </c>
      <c r="J172" s="12">
        <v>0.11228482418853475</v>
      </c>
      <c r="K172" s="12">
        <v>0.10242431885250959</v>
      </c>
      <c r="L172" s="8">
        <v>16.807576873885175</v>
      </c>
      <c r="M172" s="8">
        <v>9.439303518390151</v>
      </c>
      <c r="N172" s="8">
        <v>27.712320261958553</v>
      </c>
      <c r="O172" s="8">
        <v>15.748583806491538</v>
      </c>
      <c r="P172" s="15">
        <v>2.5071495936225858</v>
      </c>
      <c r="Q172" s="15">
        <v>2.8792050200375625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5738.5452352153234</v>
      </c>
      <c r="Y172" s="8">
        <v>3474.9773998217879</v>
      </c>
    </row>
    <row r="173" spans="1:25" x14ac:dyDescent="0.2">
      <c r="A173" s="6" t="str">
        <f t="shared" si="18"/>
        <v>7- WRAP PRM No QCC Changes&amp;2024</v>
      </c>
      <c r="B173" s="6" t="str">
        <f>'Scenario List'!$A$9</f>
        <v>7- WRAP PRM No QCC Changes</v>
      </c>
      <c r="C173" s="6">
        <v>2024</v>
      </c>
      <c r="D173" s="8">
        <v>657.51189946903094</v>
      </c>
      <c r="E173" s="8">
        <v>322.02624778967458</v>
      </c>
      <c r="F173" s="8">
        <v>979.53814725870552</v>
      </c>
      <c r="G173" s="8">
        <v>417.63724712041625</v>
      </c>
      <c r="H173" s="8">
        <v>127.05948523058052</v>
      </c>
      <c r="I173" s="8">
        <v>544.69673235099674</v>
      </c>
      <c r="J173" s="12">
        <v>0.11357068653011082</v>
      </c>
      <c r="K173" s="12">
        <v>0.10392610734268705</v>
      </c>
      <c r="L173" s="8">
        <v>13.116598753630088</v>
      </c>
      <c r="M173" s="8">
        <v>7.2910046110562989</v>
      </c>
      <c r="N173" s="8">
        <v>22.189697455153691</v>
      </c>
      <c r="O173" s="8">
        <v>12.610978537329885</v>
      </c>
      <c r="P173" s="15">
        <v>2.4532169693564638</v>
      </c>
      <c r="Q173" s="15">
        <v>2.9672417086309277</v>
      </c>
      <c r="R173" s="8">
        <v>1.04814608505132E-2</v>
      </c>
      <c r="S173" s="8">
        <v>0</v>
      </c>
      <c r="T173" s="8">
        <v>0.11416085097882279</v>
      </c>
      <c r="U173" s="8">
        <v>0</v>
      </c>
      <c r="V173" s="8">
        <v>0.97729443319812614</v>
      </c>
      <c r="W173" s="8">
        <v>0</v>
      </c>
      <c r="X173" s="8">
        <v>5789.4507778176176</v>
      </c>
      <c r="Y173" s="8">
        <v>3486.3680991794763</v>
      </c>
    </row>
    <row r="174" spans="1:25" x14ac:dyDescent="0.2">
      <c r="A174" s="6" t="str">
        <f t="shared" si="18"/>
        <v>7- WRAP PRM No QCC Changes&amp;2025</v>
      </c>
      <c r="B174" s="6" t="str">
        <f>'Scenario List'!$A$9</f>
        <v>7- WRAP PRM No QCC Changes</v>
      </c>
      <c r="C174" s="6">
        <v>2025</v>
      </c>
      <c r="D174" s="8">
        <v>681.54812751085524</v>
      </c>
      <c r="E174" s="8">
        <v>329.72879500916412</v>
      </c>
      <c r="F174" s="8">
        <v>1011.2769225200193</v>
      </c>
      <c r="G174" s="8">
        <v>413.04793245239335</v>
      </c>
      <c r="H174" s="8">
        <v>127.22232814794076</v>
      </c>
      <c r="I174" s="8">
        <v>540.27026060033415</v>
      </c>
      <c r="J174" s="12">
        <v>0.1170218045214349</v>
      </c>
      <c r="K174" s="12">
        <v>0.10610863446247044</v>
      </c>
      <c r="L174" s="8">
        <v>10.308223670572522</v>
      </c>
      <c r="M174" s="8">
        <v>5.6556878355452067</v>
      </c>
      <c r="N174" s="8">
        <v>17.594408131470345</v>
      </c>
      <c r="O174" s="8">
        <v>9.6013008486548443</v>
      </c>
      <c r="P174" s="15">
        <v>2.267704348036649</v>
      </c>
      <c r="Q174" s="15">
        <v>2.7196586755011132</v>
      </c>
      <c r="R174" s="8">
        <v>0.48010373554826163</v>
      </c>
      <c r="S174" s="8">
        <v>0</v>
      </c>
      <c r="T174" s="8">
        <v>0.58725315735088768</v>
      </c>
      <c r="U174" s="8">
        <v>0</v>
      </c>
      <c r="V174" s="8">
        <v>1.9714226177824343</v>
      </c>
      <c r="W174" s="8">
        <v>0</v>
      </c>
      <c r="X174" s="8">
        <v>5824.1122694874866</v>
      </c>
      <c r="Y174" s="8">
        <v>3498.5202007587104</v>
      </c>
    </row>
    <row r="175" spans="1:25" x14ac:dyDescent="0.2">
      <c r="A175" s="6" t="str">
        <f t="shared" si="18"/>
        <v>7- WRAP PRM No QCC Changes&amp;2026</v>
      </c>
      <c r="B175" s="6" t="str">
        <f>'Scenario List'!$A$9</f>
        <v>7- WRAP PRM No QCC Changes</v>
      </c>
      <c r="C175" s="6">
        <v>2026</v>
      </c>
      <c r="D175" s="8">
        <v>690.75097754044361</v>
      </c>
      <c r="E175" s="8">
        <v>339.81351475311271</v>
      </c>
      <c r="F175" s="8">
        <v>1030.5644922935562</v>
      </c>
      <c r="G175" s="8">
        <v>311.97757040055279</v>
      </c>
      <c r="H175" s="8">
        <v>129.39876388375831</v>
      </c>
      <c r="I175" s="8">
        <v>441.3763342843111</v>
      </c>
      <c r="J175" s="12">
        <v>0.1192422128457339</v>
      </c>
      <c r="K175" s="12">
        <v>0.1102679254675666</v>
      </c>
      <c r="L175" s="8">
        <v>13.337596839169043</v>
      </c>
      <c r="M175" s="8">
        <v>7.2059218134678922</v>
      </c>
      <c r="N175" s="8">
        <v>23.104013719317322</v>
      </c>
      <c r="O175" s="8">
        <v>12.579950409988612</v>
      </c>
      <c r="P175" s="15">
        <v>1.357664703805691</v>
      </c>
      <c r="Q175" s="15">
        <v>1.4922093815351607</v>
      </c>
      <c r="R175" s="8">
        <v>1.5716052916961274</v>
      </c>
      <c r="S175" s="8">
        <v>0</v>
      </c>
      <c r="T175" s="8">
        <v>1.7353919955998676</v>
      </c>
      <c r="U175" s="8">
        <v>0</v>
      </c>
      <c r="V175" s="8">
        <v>2.9826784510598912</v>
      </c>
      <c r="W175" s="8">
        <v>0</v>
      </c>
      <c r="X175" s="8">
        <v>5792.8393062789128</v>
      </c>
      <c r="Y175" s="8">
        <v>3474.0666524539779</v>
      </c>
    </row>
    <row r="176" spans="1:25" x14ac:dyDescent="0.2">
      <c r="A176" s="6" t="str">
        <f t="shared" si="18"/>
        <v>7- WRAP PRM No QCC Changes&amp;2027</v>
      </c>
      <c r="B176" s="6" t="str">
        <f>'Scenario List'!$A$9</f>
        <v>7- WRAP PRM No QCC Changes</v>
      </c>
      <c r="C176" s="6">
        <v>2027</v>
      </c>
      <c r="D176" s="8">
        <v>710.47789631270825</v>
      </c>
      <c r="E176" s="8">
        <v>344.01733560975788</v>
      </c>
      <c r="F176" s="8">
        <v>1054.4952319224662</v>
      </c>
      <c r="G176" s="8">
        <v>309.77063560174395</v>
      </c>
      <c r="H176" s="8">
        <v>125.3065511383097</v>
      </c>
      <c r="I176" s="8">
        <v>435.07718674005366</v>
      </c>
      <c r="J176" s="12">
        <v>0.12185272141079447</v>
      </c>
      <c r="K176" s="12">
        <v>0.11086103145777365</v>
      </c>
      <c r="L176" s="8">
        <v>10.959781110240268</v>
      </c>
      <c r="M176" s="8">
        <v>6.027833910996061</v>
      </c>
      <c r="N176" s="8">
        <v>16.100629029396686</v>
      </c>
      <c r="O176" s="8">
        <v>8.7655075196808667</v>
      </c>
      <c r="P176" s="15">
        <v>1.5322265533850017</v>
      </c>
      <c r="Q176" s="15">
        <v>1.4329042999731518</v>
      </c>
      <c r="R176" s="8">
        <v>3.6552593497407</v>
      </c>
      <c r="S176" s="8">
        <v>0</v>
      </c>
      <c r="T176" s="8">
        <v>3.8779655706350491</v>
      </c>
      <c r="U176" s="8">
        <v>0</v>
      </c>
      <c r="V176" s="8">
        <v>4.0266198386112562</v>
      </c>
      <c r="W176" s="8">
        <v>0</v>
      </c>
      <c r="X176" s="8">
        <v>5830.6280572718479</v>
      </c>
      <c r="Y176" s="8">
        <v>3494.41725222472</v>
      </c>
    </row>
    <row r="177" spans="1:25" x14ac:dyDescent="0.2">
      <c r="A177" s="6" t="str">
        <f t="shared" si="18"/>
        <v>7- WRAP PRM No QCC Changes&amp;2028</v>
      </c>
      <c r="B177" s="6" t="str">
        <f>'Scenario List'!$A$9</f>
        <v>7- WRAP PRM No QCC Changes</v>
      </c>
      <c r="C177" s="6">
        <v>2028</v>
      </c>
      <c r="D177" s="8">
        <v>737.32304147149762</v>
      </c>
      <c r="E177" s="8">
        <v>352.77427040883867</v>
      </c>
      <c r="F177" s="8">
        <v>1090.0973118803363</v>
      </c>
      <c r="G177" s="8">
        <v>315.456344295279</v>
      </c>
      <c r="H177" s="8">
        <v>125.42377254241615</v>
      </c>
      <c r="I177" s="8">
        <v>440.88011683769514</v>
      </c>
      <c r="J177" s="12">
        <v>0.12560689877701361</v>
      </c>
      <c r="K177" s="12">
        <v>0.11293769535857283</v>
      </c>
      <c r="L177" s="8">
        <v>13.167028283765218</v>
      </c>
      <c r="M177" s="8">
        <v>7.288699731634515</v>
      </c>
      <c r="N177" s="8">
        <v>25.247422238750403</v>
      </c>
      <c r="O177" s="8">
        <v>14.138731430280444</v>
      </c>
      <c r="P177" s="15">
        <v>1.5730832543333022</v>
      </c>
      <c r="Q177" s="15">
        <v>1.4184150619134281</v>
      </c>
      <c r="R177" s="8">
        <v>4.7311942786329881</v>
      </c>
      <c r="S177" s="8">
        <v>0</v>
      </c>
      <c r="T177" s="8">
        <v>5.0144830504121405</v>
      </c>
      <c r="U177" s="8">
        <v>0</v>
      </c>
      <c r="V177" s="8">
        <v>5.0761915758614151</v>
      </c>
      <c r="W177" s="8">
        <v>0</v>
      </c>
      <c r="X177" s="8">
        <v>5870.0839575734326</v>
      </c>
      <c r="Y177" s="8">
        <v>3513.1717806605416</v>
      </c>
    </row>
    <row r="178" spans="1:25" x14ac:dyDescent="0.2">
      <c r="A178" s="6" t="str">
        <f t="shared" si="18"/>
        <v>7- WRAP PRM No QCC Changes&amp;2029</v>
      </c>
      <c r="B178" s="6" t="str">
        <f>'Scenario List'!$A$9</f>
        <v>7- WRAP PRM No QCC Changes</v>
      </c>
      <c r="C178" s="6">
        <v>2029</v>
      </c>
      <c r="D178" s="8">
        <v>762.48732903144196</v>
      </c>
      <c r="E178" s="8">
        <v>363.62677897612434</v>
      </c>
      <c r="F178" s="8">
        <v>1126.1141080075663</v>
      </c>
      <c r="G178" s="8">
        <v>317.34347593948002</v>
      </c>
      <c r="H178" s="8">
        <v>127.27644262480845</v>
      </c>
      <c r="I178" s="8">
        <v>444.61991856428847</v>
      </c>
      <c r="J178" s="12">
        <v>0.12911292968835339</v>
      </c>
      <c r="K178" s="12">
        <v>0.11555848954413743</v>
      </c>
      <c r="L178" s="8">
        <v>14.708397349376133</v>
      </c>
      <c r="M178" s="8">
        <v>8.191712770730307</v>
      </c>
      <c r="N178" s="8">
        <v>23.929464887162624</v>
      </c>
      <c r="O178" s="8">
        <v>13.397918915788281</v>
      </c>
      <c r="P178" s="15">
        <v>1.5569681058365354</v>
      </c>
      <c r="Q178" s="15">
        <v>1.3845054987276737</v>
      </c>
      <c r="R178" s="8">
        <v>5.3020489834026758</v>
      </c>
      <c r="S178" s="8">
        <v>0</v>
      </c>
      <c r="T178" s="8">
        <v>5.6497867349679458</v>
      </c>
      <c r="U178" s="8">
        <v>0</v>
      </c>
      <c r="V178" s="8">
        <v>6.2330758716274612</v>
      </c>
      <c r="W178" s="8">
        <v>0</v>
      </c>
      <c r="X178" s="8">
        <v>5905.5845984743537</v>
      </c>
      <c r="Y178" s="8">
        <v>3534.0986758534245</v>
      </c>
    </row>
    <row r="179" spans="1:25" x14ac:dyDescent="0.2">
      <c r="A179" s="6" t="str">
        <f t="shared" si="18"/>
        <v>7- WRAP PRM No QCC Changes&amp;2030</v>
      </c>
      <c r="B179" s="6" t="str">
        <f>'Scenario List'!$A$9</f>
        <v>7- WRAP PRM No QCC Changes</v>
      </c>
      <c r="C179" s="6">
        <v>2030</v>
      </c>
      <c r="D179" s="8">
        <v>788.69701282556821</v>
      </c>
      <c r="E179" s="8">
        <v>375.05887737043668</v>
      </c>
      <c r="F179" s="8">
        <v>1163.7558901960049</v>
      </c>
      <c r="G179" s="8">
        <v>321.88515315235372</v>
      </c>
      <c r="H179" s="8">
        <v>129.59155586447687</v>
      </c>
      <c r="I179" s="8">
        <v>451.47670901683057</v>
      </c>
      <c r="J179" s="12">
        <v>0.13277293699418885</v>
      </c>
      <c r="K179" s="12">
        <v>0.11861697974397351</v>
      </c>
      <c r="L179" s="8">
        <v>12.459641501552136</v>
      </c>
      <c r="M179" s="8">
        <v>9.0387412124372979</v>
      </c>
      <c r="N179" s="8">
        <v>21.13537685508328</v>
      </c>
      <c r="O179" s="8">
        <v>16.399824587240104</v>
      </c>
      <c r="P179" s="15">
        <v>1.4533807708328634</v>
      </c>
      <c r="Q179" s="15">
        <v>1.4482233725931652</v>
      </c>
      <c r="R179" s="8">
        <v>21.35810828590985</v>
      </c>
      <c r="S179" s="8">
        <v>0</v>
      </c>
      <c r="T179" s="8">
        <v>31.294864152505529</v>
      </c>
      <c r="U179" s="8">
        <v>0</v>
      </c>
      <c r="V179" s="8">
        <v>666.52483931614233</v>
      </c>
      <c r="W179" s="8">
        <v>0</v>
      </c>
      <c r="X179" s="8">
        <v>5940.1940687663446</v>
      </c>
      <c r="Y179" s="8">
        <v>3553.194087995324</v>
      </c>
    </row>
    <row r="180" spans="1:25" x14ac:dyDescent="0.2">
      <c r="A180" s="6" t="str">
        <f t="shared" si="18"/>
        <v>7- WRAP PRM No QCC Changes&amp;2031</v>
      </c>
      <c r="B180" s="6" t="str">
        <f>'Scenario List'!$A$9</f>
        <v>7- WRAP PRM No QCC Changes</v>
      </c>
      <c r="C180" s="6">
        <v>2031</v>
      </c>
      <c r="D180" s="8">
        <v>823.68105424238172</v>
      </c>
      <c r="E180" s="8">
        <v>389.25687422488159</v>
      </c>
      <c r="F180" s="8">
        <v>1212.9379284672632</v>
      </c>
      <c r="G180" s="8">
        <v>323.38196245799276</v>
      </c>
      <c r="H180" s="8">
        <v>134.17715267736486</v>
      </c>
      <c r="I180" s="8">
        <v>457.55911513535762</v>
      </c>
      <c r="J180" s="12">
        <v>0.13760473933163167</v>
      </c>
      <c r="K180" s="12">
        <v>0.12221188451901385</v>
      </c>
      <c r="L180" s="8">
        <v>11.182004720355645</v>
      </c>
      <c r="M180" s="8">
        <v>8.2696160268424688</v>
      </c>
      <c r="N180" s="8">
        <v>20.574035303280112</v>
      </c>
      <c r="O180" s="8">
        <v>14.30793457493759</v>
      </c>
      <c r="P180" s="15">
        <v>1.3682008060927968</v>
      </c>
      <c r="Q180" s="15">
        <v>1.3178533229172604</v>
      </c>
      <c r="R180" s="8">
        <v>21.41935934371643</v>
      </c>
      <c r="S180" s="8">
        <v>0</v>
      </c>
      <c r="T180" s="8">
        <v>31.424524909178192</v>
      </c>
      <c r="U180" s="8">
        <v>0</v>
      </c>
      <c r="V180" s="8">
        <v>666.28914895642993</v>
      </c>
      <c r="W180" s="8">
        <v>0</v>
      </c>
      <c r="X180" s="8">
        <v>5985.8480038051957</v>
      </c>
      <c r="Y180" s="8">
        <v>3576.3284980030012</v>
      </c>
    </row>
    <row r="181" spans="1:25" x14ac:dyDescent="0.2">
      <c r="A181" s="6" t="str">
        <f t="shared" si="18"/>
        <v>7- WRAP PRM No QCC Changes&amp;2032</v>
      </c>
      <c r="B181" s="6" t="str">
        <f>'Scenario List'!$A$9</f>
        <v>7- WRAP PRM No QCC Changes</v>
      </c>
      <c r="C181" s="6">
        <v>2032</v>
      </c>
      <c r="D181" s="8">
        <v>860.91229122697109</v>
      </c>
      <c r="E181" s="8">
        <v>404.58875335372608</v>
      </c>
      <c r="F181" s="8">
        <v>1265.5010445806972</v>
      </c>
      <c r="G181" s="8">
        <v>332.05144564606218</v>
      </c>
      <c r="H181" s="8">
        <v>139.56705979240334</v>
      </c>
      <c r="I181" s="8">
        <v>471.61850543846549</v>
      </c>
      <c r="J181" s="12">
        <v>0.1426261284171568</v>
      </c>
      <c r="K181" s="12">
        <v>0.12612189944085883</v>
      </c>
      <c r="L181" s="8">
        <v>9.2360151306977727</v>
      </c>
      <c r="M181" s="8">
        <v>8.8443398146980066</v>
      </c>
      <c r="N181" s="8">
        <v>15.893542659036314</v>
      </c>
      <c r="O181" s="8">
        <v>17.309074662373362</v>
      </c>
      <c r="P181" s="15">
        <v>1.2184851140371675</v>
      </c>
      <c r="Q181" s="15">
        <v>1.2400831169937785</v>
      </c>
      <c r="R181" s="8">
        <v>102.59721815952514</v>
      </c>
      <c r="S181" s="8">
        <v>36.531383336493633</v>
      </c>
      <c r="T181" s="8">
        <v>100.34519924410762</v>
      </c>
      <c r="U181" s="8">
        <v>36.531383336493626</v>
      </c>
      <c r="V181" s="8">
        <v>1490.2771524784289</v>
      </c>
      <c r="W181" s="8">
        <v>-7.3353979080314282</v>
      </c>
      <c r="X181" s="8">
        <v>6036.1470985803617</v>
      </c>
      <c r="Y181" s="8">
        <v>3599.861179331675</v>
      </c>
    </row>
    <row r="182" spans="1:25" x14ac:dyDescent="0.2">
      <c r="A182" s="6" t="str">
        <f t="shared" si="18"/>
        <v>7- WRAP PRM No QCC Changes&amp;2033</v>
      </c>
      <c r="B182" s="6" t="str">
        <f>'Scenario List'!$A$9</f>
        <v>7- WRAP PRM No QCC Changes</v>
      </c>
      <c r="C182" s="6">
        <v>2033</v>
      </c>
      <c r="D182" s="8">
        <v>886.91068390493683</v>
      </c>
      <c r="E182" s="8">
        <v>415.97019840100319</v>
      </c>
      <c r="F182" s="8">
        <v>1302.8808823059401</v>
      </c>
      <c r="G182" s="8">
        <v>331.75143380614884</v>
      </c>
      <c r="H182" s="8">
        <v>140.52539821624504</v>
      </c>
      <c r="I182" s="8">
        <v>472.27683202239388</v>
      </c>
      <c r="J182" s="12">
        <v>0.14583341848522308</v>
      </c>
      <c r="K182" s="12">
        <v>0.12857861481554839</v>
      </c>
      <c r="L182" s="8">
        <v>9.56731528371912</v>
      </c>
      <c r="M182" s="8">
        <v>8.7428192618861651</v>
      </c>
      <c r="N182" s="8">
        <v>15.24127515080535</v>
      </c>
      <c r="O182" s="8">
        <v>16.127193449045023</v>
      </c>
      <c r="P182" s="15">
        <v>1.2061519698906096</v>
      </c>
      <c r="Q182" s="15">
        <v>1.2104176768359198</v>
      </c>
      <c r="R182" s="8">
        <v>102.67599199732989</v>
      </c>
      <c r="S182" s="8">
        <v>36.531383336493633</v>
      </c>
      <c r="T182" s="8">
        <v>100.50212087277905</v>
      </c>
      <c r="U182" s="8">
        <v>36.531383336493633</v>
      </c>
      <c r="V182" s="8">
        <v>1485.2789095086466</v>
      </c>
      <c r="W182" s="8">
        <v>-7.3736283578019597</v>
      </c>
      <c r="X182" s="8">
        <v>6081.6697099835537</v>
      </c>
      <c r="Y182" s="8">
        <v>3625.5532287773253</v>
      </c>
    </row>
    <row r="183" spans="1:25" x14ac:dyDescent="0.2">
      <c r="A183" s="6" t="str">
        <f t="shared" si="18"/>
        <v>7- WRAP PRM No QCC Changes&amp;2034</v>
      </c>
      <c r="B183" s="6" t="str">
        <f>'Scenario List'!$A$9</f>
        <v>7- WRAP PRM No QCC Changes</v>
      </c>
      <c r="C183" s="6">
        <v>2034</v>
      </c>
      <c r="D183" s="8">
        <v>897.91290234750329</v>
      </c>
      <c r="E183" s="8">
        <v>418.8158043859209</v>
      </c>
      <c r="F183" s="8">
        <v>1316.7287067334241</v>
      </c>
      <c r="G183" s="8">
        <v>316.08578930555854</v>
      </c>
      <c r="H183" s="8">
        <v>132.55694151201595</v>
      </c>
      <c r="I183" s="8">
        <v>448.64273081757449</v>
      </c>
      <c r="J183" s="12">
        <v>0.14643106450105356</v>
      </c>
      <c r="K183" s="12">
        <v>0.12836961816189837</v>
      </c>
      <c r="L183" s="8">
        <v>9.7937773762040905</v>
      </c>
      <c r="M183" s="8">
        <v>10.160211894678598</v>
      </c>
      <c r="N183" s="8">
        <v>17.819418527722107</v>
      </c>
      <c r="O183" s="8">
        <v>18.600287952966468</v>
      </c>
      <c r="P183" s="15">
        <v>1.2943218689248757</v>
      </c>
      <c r="Q183" s="15">
        <v>1.1830499255774227</v>
      </c>
      <c r="R183" s="8">
        <v>102.75103159477611</v>
      </c>
      <c r="S183" s="8">
        <v>36.531383336493633</v>
      </c>
      <c r="T183" s="8">
        <v>100.59831213608157</v>
      </c>
      <c r="U183" s="8">
        <v>36.531383336493633</v>
      </c>
      <c r="V183" s="8">
        <v>1482.9579025046337</v>
      </c>
      <c r="W183" s="8">
        <v>-7.2727442365825778</v>
      </c>
      <c r="X183" s="8">
        <v>6131.9837112912801</v>
      </c>
      <c r="Y183" s="8">
        <v>3652.0480018360981</v>
      </c>
    </row>
    <row r="184" spans="1:25" x14ac:dyDescent="0.2">
      <c r="A184" s="6" t="str">
        <f t="shared" si="18"/>
        <v>7- WRAP PRM No QCC Changes&amp;2035</v>
      </c>
      <c r="B184" s="6" t="str">
        <f>'Scenario List'!$A$9</f>
        <v>7- WRAP PRM No QCC Changes</v>
      </c>
      <c r="C184" s="6">
        <v>2035</v>
      </c>
      <c r="D184" s="8">
        <v>930.80986928224957</v>
      </c>
      <c r="E184" s="8">
        <v>434.91180530572728</v>
      </c>
      <c r="F184" s="8">
        <v>1365.7216745879768</v>
      </c>
      <c r="G184" s="8">
        <v>324.31091116872432</v>
      </c>
      <c r="H184" s="8">
        <v>137.54948009865285</v>
      </c>
      <c r="I184" s="8">
        <v>461.86039126737717</v>
      </c>
      <c r="J184" s="12">
        <v>0.15051325500904364</v>
      </c>
      <c r="K184" s="12">
        <v>0.13225721620033523</v>
      </c>
      <c r="L184" s="8">
        <v>10.844041855423844</v>
      </c>
      <c r="M184" s="8">
        <v>10.878616551266235</v>
      </c>
      <c r="N184" s="8">
        <v>18.23767249132699</v>
      </c>
      <c r="O184" s="8">
        <v>20.065435486413236</v>
      </c>
      <c r="P184" s="15">
        <v>1.3120102573706964</v>
      </c>
      <c r="Q184" s="15">
        <v>1.184735001764377</v>
      </c>
      <c r="R184" s="8">
        <v>102.82936325475977</v>
      </c>
      <c r="S184" s="8">
        <v>36.531383336493633</v>
      </c>
      <c r="T184" s="8">
        <v>100.69664840590539</v>
      </c>
      <c r="U184" s="8">
        <v>36.531383336493633</v>
      </c>
      <c r="V184" s="8">
        <v>1494.006143986298</v>
      </c>
      <c r="W184" s="8">
        <v>-6.9668272466658552</v>
      </c>
      <c r="X184" s="8">
        <v>6184.2385192342135</v>
      </c>
      <c r="Y184" s="8">
        <v>3679.7112087638698</v>
      </c>
    </row>
    <row r="185" spans="1:25" x14ac:dyDescent="0.2">
      <c r="A185" s="6" t="str">
        <f t="shared" si="18"/>
        <v>7- WRAP PRM No QCC Changes&amp;2036</v>
      </c>
      <c r="B185" s="6" t="str">
        <f>'Scenario List'!$A$9</f>
        <v>7- WRAP PRM No QCC Changes</v>
      </c>
      <c r="C185" s="6">
        <v>2036</v>
      </c>
      <c r="D185" s="8">
        <v>960.07979029599528</v>
      </c>
      <c r="E185" s="8">
        <v>448.33152819540965</v>
      </c>
      <c r="F185" s="8">
        <v>1408.4113184914049</v>
      </c>
      <c r="G185" s="8">
        <v>326.84558226307718</v>
      </c>
      <c r="H185" s="8">
        <v>139.40301993043482</v>
      </c>
      <c r="I185" s="8">
        <v>466.248602193512</v>
      </c>
      <c r="J185" s="12">
        <v>0.15381434913625502</v>
      </c>
      <c r="K185" s="12">
        <v>0.13519763209165583</v>
      </c>
      <c r="L185" s="8">
        <v>11.550592874604536</v>
      </c>
      <c r="M185" s="8">
        <v>10.656904448734347</v>
      </c>
      <c r="N185" s="8">
        <v>20.76164464810175</v>
      </c>
      <c r="O185" s="8">
        <v>18.742529316359366</v>
      </c>
      <c r="P185" s="15">
        <v>1.3232563536704993</v>
      </c>
      <c r="Q185" s="15">
        <v>1.1717729580617373</v>
      </c>
      <c r="R185" s="8">
        <v>102.91205931335776</v>
      </c>
      <c r="S185" s="8">
        <v>36.872766232397296</v>
      </c>
      <c r="T185" s="8">
        <v>103.10352669321978</v>
      </c>
      <c r="U185" s="8">
        <v>38.148928746948762</v>
      </c>
      <c r="V185" s="8">
        <v>1508.3769389452971</v>
      </c>
      <c r="W185" s="8">
        <v>-1.9877968472518615</v>
      </c>
      <c r="X185" s="8">
        <v>6241.8090099352012</v>
      </c>
      <c r="Y185" s="8">
        <v>3708.3342492297734</v>
      </c>
    </row>
    <row r="186" spans="1:25" x14ac:dyDescent="0.2">
      <c r="A186" s="6" t="str">
        <f t="shared" si="18"/>
        <v>7- WRAP PRM No QCC Changes&amp;2037</v>
      </c>
      <c r="B186" s="6" t="str">
        <f>'Scenario List'!$A$9</f>
        <v>7- WRAP PRM No QCC Changes</v>
      </c>
      <c r="C186" s="6">
        <v>2037</v>
      </c>
      <c r="D186" s="8">
        <v>996.54422377549292</v>
      </c>
      <c r="E186" s="8">
        <v>467.34536332641585</v>
      </c>
      <c r="F186" s="8">
        <v>1463.8895871019088</v>
      </c>
      <c r="G186" s="8">
        <v>335.61949606931529</v>
      </c>
      <c r="H186" s="8">
        <v>146.34301591852505</v>
      </c>
      <c r="I186" s="8">
        <v>481.96251198784034</v>
      </c>
      <c r="J186" s="12">
        <v>0.15829262712429709</v>
      </c>
      <c r="K186" s="12">
        <v>0.13960592349833847</v>
      </c>
      <c r="L186" s="8">
        <v>12.622496097416136</v>
      </c>
      <c r="M186" s="8">
        <v>11.666712122542584</v>
      </c>
      <c r="N186" s="8">
        <v>21.599303737119513</v>
      </c>
      <c r="O186" s="8">
        <v>20.009027269262674</v>
      </c>
      <c r="P186" s="15">
        <v>1.3318560027354367</v>
      </c>
      <c r="Q186" s="15">
        <v>1.1415696154125754</v>
      </c>
      <c r="R186" s="8">
        <v>123.83306170101862</v>
      </c>
      <c r="S186" s="8">
        <v>60.692011208014499</v>
      </c>
      <c r="T186" s="8">
        <v>124.05844615259358</v>
      </c>
      <c r="U186" s="8">
        <v>61.971670058222273</v>
      </c>
      <c r="V186" s="8">
        <v>1506.4944810609502</v>
      </c>
      <c r="W186" s="8">
        <v>-6.7478050335290698</v>
      </c>
      <c r="X186" s="8">
        <v>6295.5820613992992</v>
      </c>
      <c r="Y186" s="8">
        <v>3739.3160516624089</v>
      </c>
    </row>
    <row r="187" spans="1:25" x14ac:dyDescent="0.2">
      <c r="A187" s="6" t="str">
        <f t="shared" si="18"/>
        <v>7- WRAP PRM No QCC Changes&amp;2038</v>
      </c>
      <c r="B187" s="6" t="str">
        <f>'Scenario List'!$A$9</f>
        <v>7- WRAP PRM No QCC Changes</v>
      </c>
      <c r="C187" s="6">
        <v>2038</v>
      </c>
      <c r="D187" s="8">
        <v>1032.6246847033153</v>
      </c>
      <c r="E187" s="8">
        <v>482.4417506921144</v>
      </c>
      <c r="F187" s="8">
        <v>1515.0664353954298</v>
      </c>
      <c r="G187" s="8">
        <v>339.6577566580616</v>
      </c>
      <c r="H187" s="8">
        <v>148.91377832279954</v>
      </c>
      <c r="I187" s="8">
        <v>488.57153498086114</v>
      </c>
      <c r="J187" s="12">
        <v>0.16248307074534599</v>
      </c>
      <c r="K187" s="12">
        <v>0.14271321603545412</v>
      </c>
      <c r="L187" s="8">
        <v>14.449336158081653</v>
      </c>
      <c r="M187" s="8">
        <v>13.624090287002232</v>
      </c>
      <c r="N187" s="8">
        <v>25.508599582541564</v>
      </c>
      <c r="O187" s="8">
        <v>24.018440611037363</v>
      </c>
      <c r="P187" s="15">
        <v>1.3180999322684519</v>
      </c>
      <c r="Q187" s="15">
        <v>1.0926608306611698</v>
      </c>
      <c r="R187" s="8">
        <v>148.66443479812912</v>
      </c>
      <c r="S187" s="8">
        <v>62.26118390002059</v>
      </c>
      <c r="T187" s="8">
        <v>148.91329509758677</v>
      </c>
      <c r="U187" s="8">
        <v>63.54084275022835</v>
      </c>
      <c r="V187" s="8">
        <v>1498.3650198057805</v>
      </c>
      <c r="W187" s="8">
        <v>-6.6755735958997819</v>
      </c>
      <c r="X187" s="8">
        <v>6355.2755371155663</v>
      </c>
      <c r="Y187" s="8">
        <v>3771.6689425322525</v>
      </c>
    </row>
    <row r="188" spans="1:25" x14ac:dyDescent="0.2">
      <c r="A188" s="6" t="str">
        <f t="shared" si="18"/>
        <v>7- WRAP PRM No QCC Changes&amp;2039</v>
      </c>
      <c r="B188" s="6" t="str">
        <f>'Scenario List'!$A$9</f>
        <v>7- WRAP PRM No QCC Changes</v>
      </c>
      <c r="C188" s="6">
        <v>2039</v>
      </c>
      <c r="D188" s="8">
        <v>1081.1760361124484</v>
      </c>
      <c r="E188" s="8">
        <v>507.38953971191279</v>
      </c>
      <c r="F188" s="8">
        <v>1588.5655758243611</v>
      </c>
      <c r="G188" s="8">
        <v>358.96840286369627</v>
      </c>
      <c r="H188" s="8">
        <v>160.90589184946782</v>
      </c>
      <c r="I188" s="8">
        <v>519.87429471316409</v>
      </c>
      <c r="J188" s="12">
        <v>0.16845191703016721</v>
      </c>
      <c r="K188" s="12">
        <v>0.14862325792153866</v>
      </c>
      <c r="L188" s="8">
        <v>13.704183189174728</v>
      </c>
      <c r="M188" s="8">
        <v>13.003048681459621</v>
      </c>
      <c r="N188" s="8">
        <v>22.23768178956324</v>
      </c>
      <c r="O188" s="8">
        <v>21.223700362260374</v>
      </c>
      <c r="P188" s="15">
        <v>1.3515038825160568</v>
      </c>
      <c r="Q188" s="15">
        <v>1.0783545699389783</v>
      </c>
      <c r="R188" s="8">
        <v>169.59668201570153</v>
      </c>
      <c r="S188" s="8">
        <v>84.895216723686332</v>
      </c>
      <c r="T188" s="8">
        <v>169.87024029129628</v>
      </c>
      <c r="U188" s="8">
        <v>86.174875573894113</v>
      </c>
      <c r="V188" s="8">
        <v>1495.8389090046371</v>
      </c>
      <c r="W188" s="8">
        <v>-10.596307504671298</v>
      </c>
      <c r="X188" s="8">
        <v>6418.3065124680415</v>
      </c>
      <c r="Y188" s="8">
        <v>3805.673302021291</v>
      </c>
    </row>
    <row r="189" spans="1:25" x14ac:dyDescent="0.2">
      <c r="A189" s="6" t="str">
        <f t="shared" si="18"/>
        <v>7- WRAP PRM No QCC Changes&amp;2040</v>
      </c>
      <c r="B189" s="6" t="str">
        <f>'Scenario List'!$A$9</f>
        <v>7- WRAP PRM No QCC Changes</v>
      </c>
      <c r="C189" s="6">
        <v>2040</v>
      </c>
      <c r="D189" s="8">
        <v>1113.0313252061533</v>
      </c>
      <c r="E189" s="8">
        <v>521.21701076030729</v>
      </c>
      <c r="F189" s="8">
        <v>1634.2483359664607</v>
      </c>
      <c r="G189" s="8">
        <v>360.22534701798196</v>
      </c>
      <c r="H189" s="8">
        <v>161.3160570190268</v>
      </c>
      <c r="I189" s="8">
        <v>521.54140403700876</v>
      </c>
      <c r="J189" s="12">
        <v>0.17153990254814105</v>
      </c>
      <c r="K189" s="12">
        <v>0.15114194259523456</v>
      </c>
      <c r="L189" s="8">
        <v>15.396875261423778</v>
      </c>
      <c r="M189" s="8">
        <v>14.885450872571107</v>
      </c>
      <c r="N189" s="8">
        <v>28.819683148958532</v>
      </c>
      <c r="O189" s="8">
        <v>28.612697148676375</v>
      </c>
      <c r="P189" s="15">
        <v>1.3770699006040275</v>
      </c>
      <c r="Q189" s="15">
        <v>1.0616154054528937</v>
      </c>
      <c r="R189" s="8">
        <v>190.53534421183596</v>
      </c>
      <c r="S189" s="8">
        <v>85.326255562937263</v>
      </c>
      <c r="T189" s="8">
        <v>190.82267600147728</v>
      </c>
      <c r="U189" s="8">
        <v>86.602418077488721</v>
      </c>
      <c r="V189" s="8">
        <v>1496.3843824695514</v>
      </c>
      <c r="W189" s="8">
        <v>-10.799988272890626</v>
      </c>
      <c r="X189" s="8">
        <v>6488.4689140696664</v>
      </c>
      <c r="Y189" s="8">
        <v>3841.5945356695402</v>
      </c>
    </row>
    <row r="190" spans="1:25" x14ac:dyDescent="0.2">
      <c r="A190" s="6" t="str">
        <f t="shared" si="18"/>
        <v>7- WRAP PRM No QCC Changes&amp;2041</v>
      </c>
      <c r="B190" s="6" t="str">
        <f>'Scenario List'!$A$9</f>
        <v>7- WRAP PRM No QCC Changes</v>
      </c>
      <c r="C190" s="6">
        <v>2041</v>
      </c>
      <c r="D190" s="8">
        <v>1149.5378449839045</v>
      </c>
      <c r="E190" s="8">
        <v>532.4914912216492</v>
      </c>
      <c r="F190" s="8">
        <v>1682.0293362055536</v>
      </c>
      <c r="G190" s="8">
        <v>360.87484487611334</v>
      </c>
      <c r="H190" s="8">
        <v>158.7120989354334</v>
      </c>
      <c r="I190" s="8">
        <v>519.58694381154669</v>
      </c>
      <c r="J190" s="12">
        <v>0.17532440968383753</v>
      </c>
      <c r="K190" s="12">
        <v>0.15263671456886577</v>
      </c>
      <c r="L190" s="8">
        <v>14.135743565646164</v>
      </c>
      <c r="M190" s="8">
        <v>14.919447419388122</v>
      </c>
      <c r="N190" s="8">
        <v>22.139618216050053</v>
      </c>
      <c r="O190" s="8">
        <v>25.635166204955524</v>
      </c>
      <c r="P190" s="15">
        <v>1.2487460762561122</v>
      </c>
      <c r="Q190" s="15">
        <v>1.1303651712278311</v>
      </c>
      <c r="R190" s="8">
        <v>254.60341512887331</v>
      </c>
      <c r="S190" s="8">
        <v>173.98879300902649</v>
      </c>
      <c r="T190" s="8">
        <v>256.59987034895653</v>
      </c>
      <c r="U190" s="8">
        <v>170.24103295095415</v>
      </c>
      <c r="V190" s="8">
        <v>1880.7098614922297</v>
      </c>
      <c r="W190" s="8">
        <v>192.82819434688713</v>
      </c>
      <c r="X190" s="8">
        <v>6556.633198177401</v>
      </c>
      <c r="Y190" s="8">
        <v>3880.5580831343523</v>
      </c>
    </row>
    <row r="191" spans="1:25" x14ac:dyDescent="0.2">
      <c r="A191" s="6" t="str">
        <f t="shared" si="18"/>
        <v>7- WRAP PRM No QCC Changes&amp;2042</v>
      </c>
      <c r="B191" s="6" t="str">
        <f>'Scenario List'!$A$9</f>
        <v>7- WRAP PRM No QCC Changes</v>
      </c>
      <c r="C191" s="6">
        <v>2042</v>
      </c>
      <c r="D191" s="8">
        <v>1213.8397031453806</v>
      </c>
      <c r="E191" s="8">
        <v>561.4288824294033</v>
      </c>
      <c r="F191" s="8">
        <v>1775.2685855747839</v>
      </c>
      <c r="G191" s="8">
        <v>346.72093093713818</v>
      </c>
      <c r="H191" s="8">
        <v>172.97938975307136</v>
      </c>
      <c r="I191" s="8">
        <v>519.70032069020954</v>
      </c>
      <c r="J191" s="12">
        <v>0.18299858308531916</v>
      </c>
      <c r="K191" s="12">
        <v>0.15903272026535029</v>
      </c>
      <c r="L191" s="8">
        <v>15.858794037893443</v>
      </c>
      <c r="M191" s="8">
        <v>20.312402656932296</v>
      </c>
      <c r="N191" s="8">
        <v>27.378119071744173</v>
      </c>
      <c r="O191" s="8">
        <v>38.061833442223232</v>
      </c>
      <c r="P191" s="15">
        <v>1.0104898528528437</v>
      </c>
      <c r="Q191" s="15">
        <v>0.88074855263763052</v>
      </c>
      <c r="R191" s="8">
        <v>442.24428580261559</v>
      </c>
      <c r="S191" s="8">
        <v>270.24970247142534</v>
      </c>
      <c r="T191" s="8">
        <v>446.82460568355998</v>
      </c>
      <c r="U191" s="8">
        <v>261.04373058879708</v>
      </c>
      <c r="V191" s="8">
        <v>2146.3438437325976</v>
      </c>
      <c r="W191" s="8">
        <v>419.80087697959152</v>
      </c>
      <c r="X191" s="8">
        <v>6633.0552001020351</v>
      </c>
      <c r="Y191" s="8">
        <v>3921.8415949429996</v>
      </c>
    </row>
    <row r="192" spans="1:25" x14ac:dyDescent="0.2">
      <c r="A192" s="6" t="str">
        <f t="shared" si="18"/>
        <v>7- WRAP PRM No QCC Changes&amp;2043</v>
      </c>
      <c r="B192" s="6" t="str">
        <f>'Scenario List'!$A$9</f>
        <v>7- WRAP PRM No QCC Changes</v>
      </c>
      <c r="C192" s="6">
        <v>2043</v>
      </c>
      <c r="D192" s="8">
        <v>1286.6547161293593</v>
      </c>
      <c r="E192" s="8">
        <v>586.20347054806473</v>
      </c>
      <c r="F192" s="8">
        <v>1872.8581866774239</v>
      </c>
      <c r="G192" s="8">
        <v>384.91312232730445</v>
      </c>
      <c r="H192" s="8">
        <v>182.75044401040864</v>
      </c>
      <c r="I192" s="8">
        <v>567.66356633771306</v>
      </c>
      <c r="J192" s="12">
        <v>0.19160185186861917</v>
      </c>
      <c r="K192" s="12">
        <v>0.16400480416320773</v>
      </c>
      <c r="L192" s="8">
        <v>15.518021868555834</v>
      </c>
      <c r="M192" s="8">
        <v>20.683522243863333</v>
      </c>
      <c r="N192" s="8">
        <v>28.772703976234936</v>
      </c>
      <c r="O192" s="8">
        <v>40.10959810769377</v>
      </c>
      <c r="P192" s="15">
        <v>1.0118589786576813</v>
      </c>
      <c r="Q192" s="15">
        <v>0.88504889956079458</v>
      </c>
      <c r="R192" s="8">
        <v>483.1016104229198</v>
      </c>
      <c r="S192" s="8">
        <v>273.12505370876045</v>
      </c>
      <c r="T192" s="8">
        <v>492.91036284983807</v>
      </c>
      <c r="U192" s="8">
        <v>263.91908182613224</v>
      </c>
      <c r="V192" s="8">
        <v>2467.554120697424</v>
      </c>
      <c r="W192" s="8">
        <v>427.80478338059874</v>
      </c>
      <c r="X192" s="8">
        <v>6715.2519852032256</v>
      </c>
      <c r="Y192" s="8">
        <v>3965.9300123367952</v>
      </c>
    </row>
    <row r="193" spans="1:25" x14ac:dyDescent="0.2">
      <c r="A193" s="6" t="str">
        <f t="shared" si="18"/>
        <v>7- WRAP PRM No QCC Changes&amp;2044</v>
      </c>
      <c r="B193" s="6" t="str">
        <f>'Scenario List'!$A$9</f>
        <v>7- WRAP PRM No QCC Changes</v>
      </c>
      <c r="C193" s="6">
        <v>2044</v>
      </c>
      <c r="D193" s="8">
        <v>1356.3733340911772</v>
      </c>
      <c r="E193" s="8">
        <v>611.8534791927317</v>
      </c>
      <c r="F193" s="8">
        <v>1968.226813283909</v>
      </c>
      <c r="G193" s="8">
        <v>424.82452375936128</v>
      </c>
      <c r="H193" s="8">
        <v>192.79919055955051</v>
      </c>
      <c r="I193" s="8">
        <v>617.62371431891177</v>
      </c>
      <c r="J193" s="12">
        <v>0.19925044311782178</v>
      </c>
      <c r="K193" s="12">
        <v>0.16898493902847861</v>
      </c>
      <c r="L193" s="8">
        <v>16.86761715734616</v>
      </c>
      <c r="M193" s="8">
        <v>24.844898162136538</v>
      </c>
      <c r="N193" s="8">
        <v>29.380001203474894</v>
      </c>
      <c r="O193" s="8">
        <v>43.983237584109077</v>
      </c>
      <c r="P193" s="15">
        <v>1.0312718382331361</v>
      </c>
      <c r="Q193" s="15">
        <v>0.97694616641352672</v>
      </c>
      <c r="R193" s="8">
        <v>519.29075818019555</v>
      </c>
      <c r="S193" s="8">
        <v>294.02136291446942</v>
      </c>
      <c r="T193" s="8">
        <v>538.166865819024</v>
      </c>
      <c r="U193" s="8">
        <v>284.84054396048214</v>
      </c>
      <c r="V193" s="8">
        <v>3037.0010728918514</v>
      </c>
      <c r="W193" s="8">
        <v>485.54796876621924</v>
      </c>
      <c r="X193" s="8">
        <v>6807.3792603267621</v>
      </c>
      <c r="Y193" s="8">
        <v>4013.7474140437816</v>
      </c>
    </row>
    <row r="194" spans="1:25" x14ac:dyDescent="0.2">
      <c r="A194" s="6" t="str">
        <f t="shared" si="18"/>
        <v>7- WRAP PRM No QCC Changes&amp;2045</v>
      </c>
      <c r="B194" s="6" t="str">
        <f>'Scenario List'!$A$9</f>
        <v>7- WRAP PRM No QCC Changes</v>
      </c>
      <c r="C194" s="6">
        <v>2045</v>
      </c>
      <c r="D194" s="8">
        <v>1610.8240919143232</v>
      </c>
      <c r="E194" s="8">
        <v>658.59061327469556</v>
      </c>
      <c r="F194" s="8">
        <v>2269.4147051890186</v>
      </c>
      <c r="G194" s="8">
        <v>555.5172364162338</v>
      </c>
      <c r="H194" s="8">
        <v>223.12975512040347</v>
      </c>
      <c r="I194" s="8">
        <v>778.6469915366373</v>
      </c>
      <c r="J194" s="12">
        <v>0.23343185468350577</v>
      </c>
      <c r="K194" s="12">
        <v>0.17924416770975352</v>
      </c>
      <c r="L194" s="8">
        <v>20.382918786993525</v>
      </c>
      <c r="M194" s="8">
        <v>23.879030706522975</v>
      </c>
      <c r="N194" s="8">
        <v>30.862770811844598</v>
      </c>
      <c r="O194" s="8">
        <v>45.94986402347979</v>
      </c>
      <c r="P194" s="15">
        <v>0.59632224741642992</v>
      </c>
      <c r="Q194" s="15">
        <v>0.54381120102740121</v>
      </c>
      <c r="R194" s="8">
        <v>917.49081740025815</v>
      </c>
      <c r="S194" s="8">
        <v>382.70803840035677</v>
      </c>
      <c r="T194" s="8">
        <v>926.27650333587849</v>
      </c>
      <c r="U194" s="8">
        <v>367.19498875924063</v>
      </c>
      <c r="V194" s="8">
        <v>4296.8073500319015</v>
      </c>
      <c r="W194" s="8">
        <v>683.09695310099335</v>
      </c>
      <c r="X194" s="8">
        <v>6900.6181444187596</v>
      </c>
      <c r="Y194" s="8">
        <v>4066.0555848497888</v>
      </c>
    </row>
    <row r="195" spans="1:25" x14ac:dyDescent="0.2">
      <c r="A195" s="6" t="str">
        <f t="shared" si="18"/>
        <v>7- WRAP PRM No QCC Changes&amp;NPV</v>
      </c>
      <c r="B195" s="6" t="str">
        <f>'Scenario List'!$A$9</f>
        <v>7- WRAP PRM No QCC Changes</v>
      </c>
      <c r="C195" s="3" t="s">
        <v>6</v>
      </c>
      <c r="D195" s="16">
        <f t="shared" ref="D195:E195" si="27">NPV($B$1,D171:D194)</f>
        <v>10112.118440305667</v>
      </c>
      <c r="E195" s="16">
        <f t="shared" si="27"/>
        <v>4769.3312152267745</v>
      </c>
      <c r="F195" s="16">
        <f>NPV($B$1,F171:F194)</f>
        <v>14881.449655532444</v>
      </c>
      <c r="G195" s="16">
        <f t="shared" ref="G195:I195" si="28">NPV($B$1,G171:G194)</f>
        <v>4169.2103008387749</v>
      </c>
      <c r="H195" s="16">
        <f t="shared" si="28"/>
        <v>1638.3514531303742</v>
      </c>
      <c r="I195" s="16">
        <f t="shared" si="28"/>
        <v>5807.5617539691502</v>
      </c>
      <c r="L195" s="52">
        <f t="shared" ref="L195:Q195" si="29">NPV($B$1,L171:L194)</f>
        <v>152.09775983338301</v>
      </c>
      <c r="M195" s="52">
        <f t="shared" si="29"/>
        <v>119.70211304147605</v>
      </c>
      <c r="N195" s="52">
        <f t="shared" si="29"/>
        <v>259.21509268518952</v>
      </c>
      <c r="O195" s="52">
        <f t="shared" si="29"/>
        <v>212.83969009047453</v>
      </c>
      <c r="P195" s="52">
        <f t="shared" si="29"/>
        <v>18.513553369747875</v>
      </c>
      <c r="Q195" s="52">
        <f t="shared" si="29"/>
        <v>18.83332538474718</v>
      </c>
      <c r="X195" s="52">
        <f>-PMT($B$1,22,NPV($B$1,X173:X194))</f>
        <v>6091.3256574331353</v>
      </c>
      <c r="Y195" s="52">
        <f>-PMT($B$1,22,NPV($B$1,Y173:Y194))</f>
        <v>3633.7187662175943</v>
      </c>
    </row>
    <row r="196" spans="1:25" x14ac:dyDescent="0.2">
      <c r="A196" s="6" t="str">
        <f t="shared" si="18"/>
        <v>7- WRAP PRM No QCC Changes&amp;Levelized</v>
      </c>
      <c r="B196" s="6" t="str">
        <f>'Scenario List'!$A$9</f>
        <v>7- WRAP PRM No QCC Changes</v>
      </c>
      <c r="C196" s="3" t="s">
        <v>7</v>
      </c>
      <c r="D196" s="16">
        <f t="shared" ref="D196:I196" si="30">-PMT($B$1,COUNT(D171:D194),D195)</f>
        <v>859.88558512565703</v>
      </c>
      <c r="E196" s="16">
        <f t="shared" si="30"/>
        <v>405.56083147888535</v>
      </c>
      <c r="F196" s="16">
        <f t="shared" si="30"/>
        <v>1265.4464166045425</v>
      </c>
      <c r="G196" s="16">
        <f t="shared" si="30"/>
        <v>354.52945495170627</v>
      </c>
      <c r="H196" s="16">
        <f t="shared" si="30"/>
        <v>139.31747400240079</v>
      </c>
      <c r="I196" s="16">
        <f t="shared" si="30"/>
        <v>493.84692895410711</v>
      </c>
      <c r="L196" s="52">
        <f t="shared" ref="L196:Q196" si="31">-PMT($B$1,COUNT(L171:L194),L195)</f>
        <v>12.933656976299893</v>
      </c>
      <c r="M196" s="52">
        <f t="shared" si="31"/>
        <v>10.178888046166499</v>
      </c>
      <c r="N196" s="52">
        <f t="shared" si="31"/>
        <v>22.042396255820353</v>
      </c>
      <c r="O196" s="52">
        <f t="shared" si="31"/>
        <v>18.098856587945477</v>
      </c>
      <c r="P196" s="52">
        <f t="shared" si="31"/>
        <v>1.5743029283208749</v>
      </c>
      <c r="Q196" s="52">
        <f t="shared" si="31"/>
        <v>1.6014947920087548</v>
      </c>
    </row>
    <row r="197" spans="1:25" x14ac:dyDescent="0.2">
      <c r="A197" s="6" t="str">
        <f t="shared" ref="A197:A260" si="32">B197&amp;"&amp;"&amp;C197</f>
        <v>&amp;</v>
      </c>
      <c r="C197" s="3"/>
      <c r="D197" s="16"/>
      <c r="E197" s="16"/>
      <c r="F197" s="16"/>
      <c r="G197" s="16"/>
      <c r="H197" s="16"/>
      <c r="I197" s="16"/>
      <c r="L197" s="52"/>
      <c r="M197" s="52"/>
      <c r="N197" s="52"/>
      <c r="O197" s="52"/>
      <c r="P197" s="52"/>
      <c r="Q197" s="52"/>
    </row>
    <row r="198" spans="1:25" x14ac:dyDescent="0.2">
      <c r="A198" s="6" t="str">
        <f t="shared" si="32"/>
        <v>&amp;</v>
      </c>
    </row>
    <row r="199" spans="1:25" x14ac:dyDescent="0.2">
      <c r="A199" s="6" t="str">
        <f t="shared" si="32"/>
        <v>8- VERs Assigned to Washington&amp;2023</v>
      </c>
      <c r="B199" s="6" t="str">
        <f>'Scenario List'!$A$10</f>
        <v>8- VERs Assigned to Washington</v>
      </c>
      <c r="C199" s="6">
        <v>2023</v>
      </c>
      <c r="D199" s="8">
        <v>644.35160508989395</v>
      </c>
      <c r="E199" s="8">
        <v>316.40175914469444</v>
      </c>
      <c r="F199" s="8">
        <v>960.75336423458839</v>
      </c>
      <c r="G199" s="8">
        <v>410.76872868779128</v>
      </c>
      <c r="H199" s="8">
        <v>125.83813871568339</v>
      </c>
      <c r="I199" s="8">
        <v>536.60686740347467</v>
      </c>
      <c r="J199" s="12">
        <v>0.1122848283173548</v>
      </c>
      <c r="K199" s="12">
        <v>0.10242386039941474</v>
      </c>
      <c r="L199" s="8">
        <v>16.807577780012458</v>
      </c>
      <c r="M199" s="8">
        <v>9.4393852477422762</v>
      </c>
      <c r="N199" s="8">
        <v>27.712320508347403</v>
      </c>
      <c r="O199" s="8">
        <v>15.748702006564628</v>
      </c>
      <c r="P199" s="15">
        <v>2.5071495936225858</v>
      </c>
      <c r="Q199" s="15">
        <v>2.8792050200375625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5738.5455786487819</v>
      </c>
      <c r="Y199" s="8">
        <v>3474.9949276921461</v>
      </c>
    </row>
    <row r="200" spans="1:25" x14ac:dyDescent="0.2">
      <c r="A200" s="6" t="str">
        <f t="shared" si="32"/>
        <v>8- VERs Assigned to Washington&amp;2024</v>
      </c>
      <c r="B200" s="6" t="str">
        <f>'Scenario List'!$A$10</f>
        <v>8- VERs Assigned to Washington</v>
      </c>
      <c r="C200" s="6">
        <v>2024</v>
      </c>
      <c r="D200" s="8">
        <v>657.5119970863401</v>
      </c>
      <c r="E200" s="8">
        <v>322.02690029293905</v>
      </c>
      <c r="F200" s="8">
        <v>979.53889737927921</v>
      </c>
      <c r="G200" s="8">
        <v>417.63731205013875</v>
      </c>
      <c r="H200" s="8">
        <v>127.06014655039037</v>
      </c>
      <c r="I200" s="8">
        <v>544.6974586005291</v>
      </c>
      <c r="J200" s="12">
        <v>0.11357047378890935</v>
      </c>
      <c r="K200" s="12">
        <v>0.10392490485857586</v>
      </c>
      <c r="L200" s="8">
        <v>13.116651483309868</v>
      </c>
      <c r="M200" s="8">
        <v>7.2911719207712364</v>
      </c>
      <c r="N200" s="8">
        <v>22.189697877627736</v>
      </c>
      <c r="O200" s="8">
        <v>12.611059317921686</v>
      </c>
      <c r="P200" s="15">
        <v>2.4532169693564638</v>
      </c>
      <c r="Q200" s="15">
        <v>2.9672417086309277</v>
      </c>
      <c r="R200" s="8">
        <v>1.0380200044495842E-2</v>
      </c>
      <c r="S200" s="8">
        <v>0</v>
      </c>
      <c r="T200" s="8">
        <v>0.11416085097882279</v>
      </c>
      <c r="U200" s="8">
        <v>0</v>
      </c>
      <c r="V200" s="8">
        <v>0.97729443319812614</v>
      </c>
      <c r="W200" s="8">
        <v>0</v>
      </c>
      <c r="X200" s="8">
        <v>5789.4624821979833</v>
      </c>
      <c r="Y200" s="8">
        <v>3486.410230850684</v>
      </c>
    </row>
    <row r="201" spans="1:25" x14ac:dyDescent="0.2">
      <c r="A201" s="6" t="str">
        <f t="shared" si="32"/>
        <v>8- VERs Assigned to Washington&amp;2025</v>
      </c>
      <c r="B201" s="6" t="str">
        <f>'Scenario List'!$A$10</f>
        <v>8- VERs Assigned to Washington</v>
      </c>
      <c r="C201" s="6">
        <v>2025</v>
      </c>
      <c r="D201" s="8">
        <v>681.54779214225039</v>
      </c>
      <c r="E201" s="8">
        <v>329.72926423850487</v>
      </c>
      <c r="F201" s="8">
        <v>1011.2770563807553</v>
      </c>
      <c r="G201" s="8">
        <v>413.04790655025255</v>
      </c>
      <c r="H201" s="8">
        <v>127.22281808014696</v>
      </c>
      <c r="I201" s="8">
        <v>540.27072463039951</v>
      </c>
      <c r="J201" s="12">
        <v>0.117020922705363</v>
      </c>
      <c r="K201" s="12">
        <v>0.10610616136687907</v>
      </c>
      <c r="L201" s="8">
        <v>10.308422959981499</v>
      </c>
      <c r="M201" s="8">
        <v>5.6560053832254287</v>
      </c>
      <c r="N201" s="8">
        <v>17.59474060419879</v>
      </c>
      <c r="O201" s="8">
        <v>9.6015432731706341</v>
      </c>
      <c r="P201" s="15">
        <v>2.267704348036649</v>
      </c>
      <c r="Q201" s="15">
        <v>2.7196586755011132</v>
      </c>
      <c r="R201" s="8">
        <v>0.454670475539243</v>
      </c>
      <c r="S201" s="8">
        <v>0</v>
      </c>
      <c r="T201" s="8">
        <v>0.55975956888744105</v>
      </c>
      <c r="U201" s="8">
        <v>0</v>
      </c>
      <c r="V201" s="8">
        <v>1.9714226177824343</v>
      </c>
      <c r="W201" s="8">
        <v>0</v>
      </c>
      <c r="X201" s="8">
        <v>5824.1532914439704</v>
      </c>
      <c r="Y201" s="8">
        <v>3498.5970510144471</v>
      </c>
    </row>
    <row r="202" spans="1:25" x14ac:dyDescent="0.2">
      <c r="A202" s="6" t="str">
        <f t="shared" si="32"/>
        <v>8- VERs Assigned to Washington&amp;2026</v>
      </c>
      <c r="B202" s="6" t="str">
        <f>'Scenario List'!$A$10</f>
        <v>8- VERs Assigned to Washington</v>
      </c>
      <c r="C202" s="6">
        <v>2026</v>
      </c>
      <c r="D202" s="8">
        <v>691.53795989081175</v>
      </c>
      <c r="E202" s="8">
        <v>346.27415483732653</v>
      </c>
      <c r="F202" s="8">
        <v>1037.8121147281383</v>
      </c>
      <c r="G202" s="8">
        <v>312.76562170621236</v>
      </c>
      <c r="H202" s="8">
        <v>135.85944712723764</v>
      </c>
      <c r="I202" s="8">
        <v>448.62506883344997</v>
      </c>
      <c r="J202" s="12">
        <v>0.1193817423039473</v>
      </c>
      <c r="K202" s="12">
        <v>0.11236992899755251</v>
      </c>
      <c r="L202" s="8">
        <v>13.338275948356303</v>
      </c>
      <c r="M202" s="8">
        <v>6.8755328078087139</v>
      </c>
      <c r="N202" s="8">
        <v>23.104648543144208</v>
      </c>
      <c r="O202" s="8">
        <v>12.06790136370806</v>
      </c>
      <c r="P202" s="15">
        <v>1.3897349013191782</v>
      </c>
      <c r="Q202" s="15">
        <v>1.5481539888807414</v>
      </c>
      <c r="R202" s="8">
        <v>1.4307627098382938</v>
      </c>
      <c r="S202" s="8">
        <v>45.219056299999998</v>
      </c>
      <c r="T202" s="8">
        <v>1.5898481240728632</v>
      </c>
      <c r="U202" s="8">
        <v>45.219056299999998</v>
      </c>
      <c r="V202" s="8">
        <v>2.9826784510598912</v>
      </c>
      <c r="W202" s="8">
        <v>126.88622352597373</v>
      </c>
      <c r="X202" s="8">
        <v>5792.6609759987259</v>
      </c>
      <c r="Y202" s="8">
        <v>3473.9142951866315</v>
      </c>
    </row>
    <row r="203" spans="1:25" x14ac:dyDescent="0.2">
      <c r="A203" s="6" t="str">
        <f t="shared" si="32"/>
        <v>8- VERs Assigned to Washington&amp;2027</v>
      </c>
      <c r="B203" s="6" t="str">
        <f>'Scenario List'!$A$10</f>
        <v>8- VERs Assigned to Washington</v>
      </c>
      <c r="C203" s="6">
        <v>2027</v>
      </c>
      <c r="D203" s="8">
        <v>711.26237520661005</v>
      </c>
      <c r="E203" s="8">
        <v>350.33649674478875</v>
      </c>
      <c r="F203" s="8">
        <v>1061.5988719513989</v>
      </c>
      <c r="G203" s="8">
        <v>310.55748030070924</v>
      </c>
      <c r="H203" s="8">
        <v>131.62579495118806</v>
      </c>
      <c r="I203" s="8">
        <v>442.18327525189727</v>
      </c>
      <c r="J203" s="12">
        <v>0.12198897653253318</v>
      </c>
      <c r="K203" s="12">
        <v>0.11290060971386981</v>
      </c>
      <c r="L203" s="8">
        <v>10.960897115884231</v>
      </c>
      <c r="M203" s="8">
        <v>5.8146544594425666</v>
      </c>
      <c r="N203" s="8">
        <v>16.102364682310935</v>
      </c>
      <c r="O203" s="8">
        <v>8.9738630745592616</v>
      </c>
      <c r="P203" s="15">
        <v>1.551154348865895</v>
      </c>
      <c r="Q203" s="15">
        <v>1.4899158901881437</v>
      </c>
      <c r="R203" s="8">
        <v>3.1283509710090698</v>
      </c>
      <c r="S203" s="8">
        <v>45.219056299999998</v>
      </c>
      <c r="T203" s="8">
        <v>3.3425748974627796</v>
      </c>
      <c r="U203" s="8">
        <v>45.219056299999998</v>
      </c>
      <c r="V203" s="8">
        <v>4.0266198386112562</v>
      </c>
      <c r="W203" s="8">
        <v>128.63904654287546</v>
      </c>
      <c r="X203" s="8">
        <v>5830.5462954427185</v>
      </c>
      <c r="Y203" s="8">
        <v>3494.3292423508233</v>
      </c>
    </row>
    <row r="204" spans="1:25" x14ac:dyDescent="0.2">
      <c r="A204" s="6" t="str">
        <f t="shared" si="32"/>
        <v>8- VERs Assigned to Washington&amp;2028</v>
      </c>
      <c r="B204" s="6" t="str">
        <f>'Scenario List'!$A$10</f>
        <v>8- VERs Assigned to Washington</v>
      </c>
      <c r="C204" s="6">
        <v>2028</v>
      </c>
      <c r="D204" s="8">
        <v>738.10399895069907</v>
      </c>
      <c r="E204" s="8">
        <v>358.9083520506797</v>
      </c>
      <c r="F204" s="8">
        <v>1097.0123510013786</v>
      </c>
      <c r="G204" s="8">
        <v>316.24170459278821</v>
      </c>
      <c r="H204" s="8">
        <v>131.55800138333794</v>
      </c>
      <c r="I204" s="8">
        <v>447.79970597612612</v>
      </c>
      <c r="J204" s="12">
        <v>0.12573859671028009</v>
      </c>
      <c r="K204" s="12">
        <v>0.11490164649700152</v>
      </c>
      <c r="L204" s="8">
        <v>13.169578545689967</v>
      </c>
      <c r="M204" s="8">
        <v>7.0041727718067817</v>
      </c>
      <c r="N204" s="8">
        <v>25.252527168203045</v>
      </c>
      <c r="O204" s="8">
        <v>12.864543279831764</v>
      </c>
      <c r="P204" s="15">
        <v>1.5924853501490037</v>
      </c>
      <c r="Q204" s="15">
        <v>1.4801669620675342</v>
      </c>
      <c r="R204" s="8">
        <v>3.7086057963520349</v>
      </c>
      <c r="S204" s="8">
        <v>45.219056299999998</v>
      </c>
      <c r="T204" s="8">
        <v>3.9784722455761088</v>
      </c>
      <c r="U204" s="8">
        <v>45.219056299999998</v>
      </c>
      <c r="V204" s="8">
        <v>5.0761915758614151</v>
      </c>
      <c r="W204" s="8">
        <v>137.69771388276141</v>
      </c>
      <c r="X204" s="8">
        <v>5870.1466237244349</v>
      </c>
      <c r="Y204" s="8">
        <v>3513.1669731149855</v>
      </c>
    </row>
    <row r="205" spans="1:25" x14ac:dyDescent="0.2">
      <c r="A205" s="6" t="str">
        <f t="shared" si="32"/>
        <v>8- VERs Assigned to Washington&amp;2029</v>
      </c>
      <c r="B205" s="6" t="str">
        <f>'Scenario List'!$A$10</f>
        <v>8- VERs Assigned to Washington</v>
      </c>
      <c r="C205" s="6">
        <v>2029</v>
      </c>
      <c r="D205" s="8">
        <v>763.26316461860324</v>
      </c>
      <c r="E205" s="8">
        <v>369.72254345730403</v>
      </c>
      <c r="F205" s="8">
        <v>1132.9857080759073</v>
      </c>
      <c r="G205" s="8">
        <v>318.12651963745157</v>
      </c>
      <c r="H205" s="8">
        <v>133.37245203605426</v>
      </c>
      <c r="I205" s="8">
        <v>451.49897167350582</v>
      </c>
      <c r="J205" s="12">
        <v>0.12923834311057852</v>
      </c>
      <c r="K205" s="12">
        <v>0.11749160178971609</v>
      </c>
      <c r="L205" s="8">
        <v>14.712932069466577</v>
      </c>
      <c r="M205" s="8">
        <v>7.8623011699795837</v>
      </c>
      <c r="N205" s="8">
        <v>23.940058656558364</v>
      </c>
      <c r="O205" s="8">
        <v>12.321700012413018</v>
      </c>
      <c r="P205" s="15">
        <v>1.5719487645635015</v>
      </c>
      <c r="Q205" s="15">
        <v>1.4453173670022328</v>
      </c>
      <c r="R205" s="8">
        <v>3.8710158394504677</v>
      </c>
      <c r="S205" s="8">
        <v>45.219056299999998</v>
      </c>
      <c r="T205" s="8">
        <v>4.1990773511035107</v>
      </c>
      <c r="U205" s="8">
        <v>45.219056299999998</v>
      </c>
      <c r="V205" s="8">
        <v>6.2330758716274612</v>
      </c>
      <c r="W205" s="8">
        <v>138.60588963909797</v>
      </c>
      <c r="X205" s="8">
        <v>5905.8569326097149</v>
      </c>
      <c r="Y205" s="8">
        <v>3534.208121251017</v>
      </c>
    </row>
    <row r="206" spans="1:25" x14ac:dyDescent="0.2">
      <c r="A206" s="6" t="str">
        <f t="shared" si="32"/>
        <v>8- VERs Assigned to Washington&amp;2030</v>
      </c>
      <c r="B206" s="6" t="str">
        <f>'Scenario List'!$A$10</f>
        <v>8- VERs Assigned to Washington</v>
      </c>
      <c r="C206" s="6">
        <v>2030</v>
      </c>
      <c r="D206" s="8">
        <v>789.46885697447885</v>
      </c>
      <c r="E206" s="8">
        <v>380.68668463236884</v>
      </c>
      <c r="F206" s="8">
        <v>1170.1555416068477</v>
      </c>
      <c r="G206" s="8">
        <v>322.66747811089101</v>
      </c>
      <c r="H206" s="8">
        <v>135.21974521395393</v>
      </c>
      <c r="I206" s="8">
        <v>457.88722332484497</v>
      </c>
      <c r="J206" s="12">
        <v>0.13289050031506686</v>
      </c>
      <c r="K206" s="12">
        <v>0.12038747127080057</v>
      </c>
      <c r="L206" s="8">
        <v>12.46461189229297</v>
      </c>
      <c r="M206" s="8">
        <v>8.8718202885586823</v>
      </c>
      <c r="N206" s="8">
        <v>21.149005649785181</v>
      </c>
      <c r="O206" s="8">
        <v>16.184388584555833</v>
      </c>
      <c r="P206" s="15">
        <v>1.4717797324699711</v>
      </c>
      <c r="Q206" s="15">
        <v>1.5124811237804734</v>
      </c>
      <c r="R206" s="8">
        <v>18.108068845705503</v>
      </c>
      <c r="S206" s="8">
        <v>45.219056299999998</v>
      </c>
      <c r="T206" s="8">
        <v>27.228305936522677</v>
      </c>
      <c r="U206" s="8">
        <v>45.219056299999998</v>
      </c>
      <c r="V206" s="8">
        <v>666.52483931614222</v>
      </c>
      <c r="W206" s="8">
        <v>145.77521322022736</v>
      </c>
      <c r="X206" s="8">
        <v>5940.7471196417073</v>
      </c>
      <c r="Y206" s="8">
        <v>3553.4402319714368</v>
      </c>
    </row>
    <row r="207" spans="1:25" x14ac:dyDescent="0.2">
      <c r="A207" s="6" t="str">
        <f t="shared" si="32"/>
        <v>8- VERs Assigned to Washington&amp;2031</v>
      </c>
      <c r="B207" s="6" t="str">
        <f>'Scenario List'!$A$10</f>
        <v>8- VERs Assigned to Washington</v>
      </c>
      <c r="C207" s="6">
        <v>2031</v>
      </c>
      <c r="D207" s="8">
        <v>824.44150655722751</v>
      </c>
      <c r="E207" s="8">
        <v>394.84915357586794</v>
      </c>
      <c r="F207" s="8">
        <v>1219.2906601330956</v>
      </c>
      <c r="G207" s="8">
        <v>324.15671972228387</v>
      </c>
      <c r="H207" s="8">
        <v>139.77000006665588</v>
      </c>
      <c r="I207" s="8">
        <v>463.92671978893975</v>
      </c>
      <c r="J207" s="12">
        <v>0.13771082623474543</v>
      </c>
      <c r="K207" s="12">
        <v>0.12395171418885723</v>
      </c>
      <c r="L207" s="8">
        <v>11.188547575457774</v>
      </c>
      <c r="M207" s="8">
        <v>7.9981772436330747</v>
      </c>
      <c r="N207" s="8">
        <v>20.59265887005904</v>
      </c>
      <c r="O207" s="8">
        <v>12.953545446570772</v>
      </c>
      <c r="P207" s="15">
        <v>1.3799431970249167</v>
      </c>
      <c r="Q207" s="15">
        <v>1.3735238643717611</v>
      </c>
      <c r="R207" s="8">
        <v>17.486043113795098</v>
      </c>
      <c r="S207" s="8">
        <v>45.219056299999998</v>
      </c>
      <c r="T207" s="8">
        <v>26.558553598461749</v>
      </c>
      <c r="U207" s="8">
        <v>45.219056299999998</v>
      </c>
      <c r="V207" s="8">
        <v>666.28914895642981</v>
      </c>
      <c r="W207" s="8">
        <v>126.86525351251873</v>
      </c>
      <c r="X207" s="8">
        <v>5986.7588416894923</v>
      </c>
      <c r="Y207" s="8">
        <v>3576.7379373167601</v>
      </c>
    </row>
    <row r="208" spans="1:25" x14ac:dyDescent="0.2">
      <c r="A208" s="6" t="str">
        <f t="shared" si="32"/>
        <v>8- VERs Assigned to Washington&amp;2032</v>
      </c>
      <c r="B208" s="6" t="str">
        <f>'Scenario List'!$A$10</f>
        <v>8- VERs Assigned to Washington</v>
      </c>
      <c r="C208" s="6">
        <v>2032</v>
      </c>
      <c r="D208" s="8">
        <v>859.27377898935015</v>
      </c>
      <c r="E208" s="8">
        <v>407.22745677366333</v>
      </c>
      <c r="F208" s="8">
        <v>1266.5012357630135</v>
      </c>
      <c r="G208" s="8">
        <v>330.60324075658616</v>
      </c>
      <c r="H208" s="8">
        <v>142.19509497710561</v>
      </c>
      <c r="I208" s="8">
        <v>472.79833573369177</v>
      </c>
      <c r="J208" s="12">
        <v>0.1423228955467889</v>
      </c>
      <c r="K208" s="12">
        <v>0.12692081649137502</v>
      </c>
      <c r="L208" s="8">
        <v>9.2838740588440025</v>
      </c>
      <c r="M208" s="8">
        <v>8.7592701936358868</v>
      </c>
      <c r="N208" s="8">
        <v>15.836548502178331</v>
      </c>
      <c r="O208" s="8">
        <v>15.993531577463258</v>
      </c>
      <c r="P208" s="15">
        <v>1.2347557480048836</v>
      </c>
      <c r="Q208" s="15">
        <v>1.2914072013467499</v>
      </c>
      <c r="R208" s="8">
        <v>67.066083623829897</v>
      </c>
      <c r="S208" s="8">
        <v>45.219056299999998</v>
      </c>
      <c r="T208" s="8">
        <v>65.063076658737131</v>
      </c>
      <c r="U208" s="8">
        <v>45.219056299999998</v>
      </c>
      <c r="V208" s="8">
        <v>1495.3176920500125</v>
      </c>
      <c r="W208" s="8">
        <v>116.23907205369726</v>
      </c>
      <c r="X208" s="8">
        <v>6037.4950614102872</v>
      </c>
      <c r="Y208" s="8">
        <v>3600.4587390503057</v>
      </c>
    </row>
    <row r="209" spans="1:25" x14ac:dyDescent="0.2">
      <c r="A209" s="6" t="str">
        <f t="shared" si="32"/>
        <v>8- VERs Assigned to Washington&amp;2033</v>
      </c>
      <c r="B209" s="6" t="str">
        <f>'Scenario List'!$A$10</f>
        <v>8- VERs Assigned to Washington</v>
      </c>
      <c r="C209" s="6">
        <v>2033</v>
      </c>
      <c r="D209" s="8">
        <v>885.41318939725784</v>
      </c>
      <c r="E209" s="8">
        <v>418.60984205918328</v>
      </c>
      <c r="F209" s="8">
        <v>1304.023031456441</v>
      </c>
      <c r="G209" s="8">
        <v>330.45211730250708</v>
      </c>
      <c r="H209" s="8">
        <v>143.15411804835159</v>
      </c>
      <c r="I209" s="8">
        <v>473.6062353508587</v>
      </c>
      <c r="J209" s="12">
        <v>0.14554321190981259</v>
      </c>
      <c r="K209" s="12">
        <v>0.12936185896393515</v>
      </c>
      <c r="L209" s="8">
        <v>9.5980426255659665</v>
      </c>
      <c r="M209" s="8">
        <v>8.7430192910968767</v>
      </c>
      <c r="N209" s="8">
        <v>15.428785517223858</v>
      </c>
      <c r="O209" s="8">
        <v>16.217609110938966</v>
      </c>
      <c r="P209" s="15">
        <v>1.2196484642748056</v>
      </c>
      <c r="Q209" s="15">
        <v>1.261951068233691</v>
      </c>
      <c r="R209" s="8">
        <v>66.218261433744161</v>
      </c>
      <c r="S209" s="8">
        <v>45.219056299999998</v>
      </c>
      <c r="T209" s="8">
        <v>64.312025776635636</v>
      </c>
      <c r="U209" s="8">
        <v>45.219056299999998</v>
      </c>
      <c r="V209" s="8">
        <v>1490.3457192427115</v>
      </c>
      <c r="W209" s="8">
        <v>116.71732787149074</v>
      </c>
      <c r="X209" s="8">
        <v>6083.5072813008528</v>
      </c>
      <c r="Y209" s="8">
        <v>3626.3706016827809</v>
      </c>
    </row>
    <row r="210" spans="1:25" x14ac:dyDescent="0.2">
      <c r="A210" s="6" t="str">
        <f t="shared" si="32"/>
        <v>8- VERs Assigned to Washington&amp;2034</v>
      </c>
      <c r="B210" s="6" t="str">
        <f>'Scenario List'!$A$10</f>
        <v>8- VERs Assigned to Washington</v>
      </c>
      <c r="C210" s="6">
        <v>2034</v>
      </c>
      <c r="D210" s="8">
        <v>896.5457646380753</v>
      </c>
      <c r="E210" s="8">
        <v>421.2217699682609</v>
      </c>
      <c r="F210" s="8">
        <v>1317.7675346063361</v>
      </c>
      <c r="G210" s="8">
        <v>314.92194121097174</v>
      </c>
      <c r="H210" s="8">
        <v>134.96442119654225</v>
      </c>
      <c r="I210" s="8">
        <v>449.88636240751396</v>
      </c>
      <c r="J210" s="12">
        <v>0.14615158573100476</v>
      </c>
      <c r="K210" s="12">
        <v>0.12906496264012571</v>
      </c>
      <c r="L210" s="8">
        <v>9.8981990866729763</v>
      </c>
      <c r="M210" s="8">
        <v>10.106030822844104</v>
      </c>
      <c r="N210" s="8">
        <v>17.570339061889911</v>
      </c>
      <c r="O210" s="8">
        <v>18.411885687776746</v>
      </c>
      <c r="P210" s="15">
        <v>1.2962904911556563</v>
      </c>
      <c r="Q210" s="15">
        <v>1.2350208888151748</v>
      </c>
      <c r="R210" s="8">
        <v>65.269646042239927</v>
      </c>
      <c r="S210" s="8">
        <v>45.219056299999998</v>
      </c>
      <c r="T210" s="8">
        <v>63.399634656680604</v>
      </c>
      <c r="U210" s="8">
        <v>45.219056299999998</v>
      </c>
      <c r="V210" s="8">
        <v>1487.8151878828671</v>
      </c>
      <c r="W210" s="8">
        <v>118.55295714483472</v>
      </c>
      <c r="X210" s="8">
        <v>6134.3553691452089</v>
      </c>
      <c r="Y210" s="8">
        <v>3653.1121981716387</v>
      </c>
    </row>
    <row r="211" spans="1:25" x14ac:dyDescent="0.2">
      <c r="A211" s="6" t="str">
        <f t="shared" si="32"/>
        <v>8- VERs Assigned to Washington&amp;2035</v>
      </c>
      <c r="B211" s="6" t="str">
        <f>'Scenario List'!$A$10</f>
        <v>8- VERs Assigned to Washington</v>
      </c>
      <c r="C211" s="6">
        <v>2035</v>
      </c>
      <c r="D211" s="8">
        <v>929.46853848411297</v>
      </c>
      <c r="E211" s="8">
        <v>437.0511503313902</v>
      </c>
      <c r="F211" s="8">
        <v>1366.5196888155033</v>
      </c>
      <c r="G211" s="8">
        <v>323.17661702126662</v>
      </c>
      <c r="H211" s="8">
        <v>139.69084920043221</v>
      </c>
      <c r="I211" s="8">
        <v>462.86746622169881</v>
      </c>
      <c r="J211" s="12">
        <v>0.15022558752727444</v>
      </c>
      <c r="K211" s="12">
        <v>0.13285332035017453</v>
      </c>
      <c r="L211" s="8">
        <v>10.975722274748314</v>
      </c>
      <c r="M211" s="8">
        <v>10.86210064746521</v>
      </c>
      <c r="N211" s="8">
        <v>18.396241066883547</v>
      </c>
      <c r="O211" s="8">
        <v>20.385509279427808</v>
      </c>
      <c r="P211" s="15">
        <v>1.3137753525834928</v>
      </c>
      <c r="Q211" s="15">
        <v>1.2379599015532889</v>
      </c>
      <c r="R211" s="8">
        <v>64.43098592712002</v>
      </c>
      <c r="S211" s="8">
        <v>45.219056299999998</v>
      </c>
      <c r="T211" s="8">
        <v>62.603257990964636</v>
      </c>
      <c r="U211" s="8">
        <v>45.219056299999998</v>
      </c>
      <c r="V211" s="8">
        <v>1498.6496367965158</v>
      </c>
      <c r="W211" s="8">
        <v>119.20959034742361</v>
      </c>
      <c r="X211" s="8">
        <v>6187.1519611488411</v>
      </c>
      <c r="Y211" s="8">
        <v>3681.0595293710612</v>
      </c>
    </row>
    <row r="212" spans="1:25" x14ac:dyDescent="0.2">
      <c r="A212" s="6" t="str">
        <f t="shared" si="32"/>
        <v>8- VERs Assigned to Washington&amp;2036</v>
      </c>
      <c r="B212" s="6" t="str">
        <f>'Scenario List'!$A$10</f>
        <v>8- VERs Assigned to Washington</v>
      </c>
      <c r="C212" s="6">
        <v>2036</v>
      </c>
      <c r="D212" s="8">
        <v>974.75138999801584</v>
      </c>
      <c r="E212" s="8">
        <v>460.26771805889462</v>
      </c>
      <c r="F212" s="8">
        <v>1435.0191080569105</v>
      </c>
      <c r="G212" s="8">
        <v>340.227466648063</v>
      </c>
      <c r="H212" s="8">
        <v>151.34110496274661</v>
      </c>
      <c r="I212" s="8">
        <v>491.56857161080961</v>
      </c>
      <c r="J212" s="12">
        <v>0.15607879105876321</v>
      </c>
      <c r="K212" s="12">
        <v>0.13872812803573775</v>
      </c>
      <c r="L212" s="8">
        <v>11.624658525723525</v>
      </c>
      <c r="M212" s="8">
        <v>11.48909220204412</v>
      </c>
      <c r="N212" s="8">
        <v>21.031407318484739</v>
      </c>
      <c r="O212" s="8">
        <v>20.695099589025929</v>
      </c>
      <c r="P212" s="15">
        <v>1.3487789660959935</v>
      </c>
      <c r="Q212" s="15">
        <v>1.3268853438846033</v>
      </c>
      <c r="R212" s="8">
        <v>136.16412800691964</v>
      </c>
      <c r="S212" s="8">
        <v>133.8398530475088</v>
      </c>
      <c r="T212" s="8">
        <v>130.26321794044335</v>
      </c>
      <c r="U212" s="8">
        <v>128.82617025646442</v>
      </c>
      <c r="V212" s="8">
        <v>1504.1470703905788</v>
      </c>
      <c r="W212" s="8">
        <v>328.73741586552524</v>
      </c>
      <c r="X212" s="8">
        <v>6245.2520511324619</v>
      </c>
      <c r="Y212" s="8">
        <v>3709.9823850009725</v>
      </c>
    </row>
    <row r="213" spans="1:25" x14ac:dyDescent="0.2">
      <c r="A213" s="6" t="str">
        <f t="shared" si="32"/>
        <v>8- VERs Assigned to Washington&amp;2037</v>
      </c>
      <c r="B213" s="6" t="str">
        <f>'Scenario List'!$A$10</f>
        <v>8- VERs Assigned to Washington</v>
      </c>
      <c r="C213" s="6">
        <v>2037</v>
      </c>
      <c r="D213" s="8">
        <v>1008.8635736241263</v>
      </c>
      <c r="E213" s="8">
        <v>475.81032007031649</v>
      </c>
      <c r="F213" s="8">
        <v>1484.6738936944428</v>
      </c>
      <c r="G213" s="8">
        <v>346.79300889960547</v>
      </c>
      <c r="H213" s="8">
        <v>154.81645587721613</v>
      </c>
      <c r="I213" s="8">
        <v>501.6094647768216</v>
      </c>
      <c r="J213" s="12">
        <v>0.16015071231080882</v>
      </c>
      <c r="K213" s="12">
        <v>0.14205161378748474</v>
      </c>
      <c r="L213" s="8">
        <v>12.776851213995881</v>
      </c>
      <c r="M213" s="8">
        <v>12.323585932826202</v>
      </c>
      <c r="N213" s="8">
        <v>21.920632028013415</v>
      </c>
      <c r="O213" s="8">
        <v>22.417850725828444</v>
      </c>
      <c r="P213" s="15">
        <v>1.3473652686836139</v>
      </c>
      <c r="Q213" s="15">
        <v>1.2947196247368808</v>
      </c>
      <c r="R213" s="8">
        <v>135.31141022541482</v>
      </c>
      <c r="S213" s="8">
        <v>133.8398530475088</v>
      </c>
      <c r="T213" s="8">
        <v>129.44675609187641</v>
      </c>
      <c r="U213" s="8">
        <v>128.81243413922869</v>
      </c>
      <c r="V213" s="8">
        <v>1506.7041527828176</v>
      </c>
      <c r="W213" s="8">
        <v>316.11893003456083</v>
      </c>
      <c r="X213" s="8">
        <v>6299.4635432291889</v>
      </c>
      <c r="Y213" s="8">
        <v>3741.2713541894832</v>
      </c>
    </row>
    <row r="214" spans="1:25" x14ac:dyDescent="0.2">
      <c r="A214" s="6" t="str">
        <f t="shared" si="32"/>
        <v>8- VERs Assigned to Washington&amp;2038</v>
      </c>
      <c r="B214" s="6" t="str">
        <f>'Scenario List'!$A$10</f>
        <v>8- VERs Assigned to Washington</v>
      </c>
      <c r="C214" s="6">
        <v>2038</v>
      </c>
      <c r="D214" s="8">
        <v>1041.9405789282321</v>
      </c>
      <c r="E214" s="8">
        <v>490.64697688724493</v>
      </c>
      <c r="F214" s="8">
        <v>1532.5875558154771</v>
      </c>
      <c r="G214" s="8">
        <v>347.99223332044318</v>
      </c>
      <c r="H214" s="8">
        <v>157.11452501592751</v>
      </c>
      <c r="I214" s="8">
        <v>505.10675833637072</v>
      </c>
      <c r="J214" s="12">
        <v>0.16383915930994786</v>
      </c>
      <c r="K214" s="12">
        <v>0.14504329335698046</v>
      </c>
      <c r="L214" s="8">
        <v>14.833631035928519</v>
      </c>
      <c r="M214" s="8">
        <v>14.194240308744027</v>
      </c>
      <c r="N214" s="8">
        <v>26.647680731408215</v>
      </c>
      <c r="O214" s="8">
        <v>26.168001252876365</v>
      </c>
      <c r="P214" s="15">
        <v>1.3375374191234919</v>
      </c>
      <c r="Q214" s="15">
        <v>1.2439157276502826</v>
      </c>
      <c r="R214" s="8">
        <v>134.47476062866249</v>
      </c>
      <c r="S214" s="8">
        <v>133.8398530475088</v>
      </c>
      <c r="T214" s="8">
        <v>128.65341159656009</v>
      </c>
      <c r="U214" s="8">
        <v>128.81243413922869</v>
      </c>
      <c r="V214" s="8">
        <v>1503.5708491207549</v>
      </c>
      <c r="W214" s="8">
        <v>315.88032536421542</v>
      </c>
      <c r="X214" s="8">
        <v>6359.5332356235322</v>
      </c>
      <c r="Y214" s="8">
        <v>3773.9331238690725</v>
      </c>
    </row>
    <row r="215" spans="1:25" x14ac:dyDescent="0.2">
      <c r="A215" s="6" t="str">
        <f t="shared" si="32"/>
        <v>8- VERs Assigned to Washington&amp;2039</v>
      </c>
      <c r="B215" s="6" t="str">
        <f>'Scenario List'!$A$10</f>
        <v>8- VERs Assigned to Washington</v>
      </c>
      <c r="C215" s="6">
        <v>2039</v>
      </c>
      <c r="D215" s="8">
        <v>1099.9034854187337</v>
      </c>
      <c r="E215" s="8">
        <v>512.51711411753445</v>
      </c>
      <c r="F215" s="8">
        <v>1612.4205995362681</v>
      </c>
      <c r="G215" s="8">
        <v>376.49960944592209</v>
      </c>
      <c r="H215" s="8">
        <v>166.02757683285174</v>
      </c>
      <c r="I215" s="8">
        <v>542.5271862787738</v>
      </c>
      <c r="J215" s="12">
        <v>0.17124845196809935</v>
      </c>
      <c r="K215" s="12">
        <v>0.15001248404251416</v>
      </c>
      <c r="L215" s="8">
        <v>14.03292922345082</v>
      </c>
      <c r="M215" s="8">
        <v>14.066416877763963</v>
      </c>
      <c r="N215" s="8">
        <v>24.910762928391591</v>
      </c>
      <c r="O215" s="8">
        <v>25.693615399963093</v>
      </c>
      <c r="P215" s="15">
        <v>1.4209692483606982</v>
      </c>
      <c r="Q215" s="15">
        <v>1.2297179754209819</v>
      </c>
      <c r="R215" s="8">
        <v>182.65372865396088</v>
      </c>
      <c r="S215" s="8">
        <v>133.8398530475088</v>
      </c>
      <c r="T215" s="8">
        <v>176.87604098981566</v>
      </c>
      <c r="U215" s="8">
        <v>128.81243413922869</v>
      </c>
      <c r="V215" s="8">
        <v>1256.227170252032</v>
      </c>
      <c r="W215" s="8">
        <v>313.69983740604016</v>
      </c>
      <c r="X215" s="8">
        <v>6422.8521354670511</v>
      </c>
      <c r="Y215" s="8">
        <v>3808.2387708943334</v>
      </c>
    </row>
    <row r="216" spans="1:25" x14ac:dyDescent="0.2">
      <c r="A216" s="6" t="str">
        <f t="shared" si="32"/>
        <v>8- VERs Assigned to Washington&amp;2040</v>
      </c>
      <c r="B216" s="6" t="str">
        <f>'Scenario List'!$A$10</f>
        <v>8- VERs Assigned to Washington</v>
      </c>
      <c r="C216" s="6">
        <v>2040</v>
      </c>
      <c r="D216" s="8">
        <v>1130.3548420110571</v>
      </c>
      <c r="E216" s="8">
        <v>526.08290976715</v>
      </c>
      <c r="F216" s="8">
        <v>1656.4377517782073</v>
      </c>
      <c r="G216" s="8">
        <v>376.40600396989987</v>
      </c>
      <c r="H216" s="8">
        <v>166.17143410132479</v>
      </c>
      <c r="I216" s="8">
        <v>542.57743807122461</v>
      </c>
      <c r="J216" s="12">
        <v>0.17408185707681109</v>
      </c>
      <c r="K216" s="12">
        <v>0.15242670186694343</v>
      </c>
      <c r="L216" s="8">
        <v>15.898346694605371</v>
      </c>
      <c r="M216" s="8">
        <v>15.399303737094806</v>
      </c>
      <c r="N216" s="8">
        <v>29.618376398686351</v>
      </c>
      <c r="O216" s="8">
        <v>31.170795719269918</v>
      </c>
      <c r="P216" s="15">
        <v>1.4543230196975154</v>
      </c>
      <c r="Q216" s="15">
        <v>1.2145389428389162</v>
      </c>
      <c r="R216" s="8">
        <v>181.86959051576559</v>
      </c>
      <c r="S216" s="8">
        <v>133.8398530475088</v>
      </c>
      <c r="T216" s="8">
        <v>176.13507206412905</v>
      </c>
      <c r="U216" s="8">
        <v>128.82617025646442</v>
      </c>
      <c r="V216" s="8">
        <v>1253.4223681695476</v>
      </c>
      <c r="W216" s="8">
        <v>322.48664856793329</v>
      </c>
      <c r="X216" s="8">
        <v>6493.2374975314315</v>
      </c>
      <c r="Y216" s="8">
        <v>3844.4508099770787</v>
      </c>
    </row>
    <row r="217" spans="1:25" x14ac:dyDescent="0.2">
      <c r="A217" s="6" t="str">
        <f t="shared" si="32"/>
        <v>8- VERs Assigned to Washington&amp;2041</v>
      </c>
      <c r="B217" s="6" t="str">
        <f>'Scenario List'!$A$10</f>
        <v>8- VERs Assigned to Washington</v>
      </c>
      <c r="C217" s="6">
        <v>2041</v>
      </c>
      <c r="D217" s="8">
        <v>1175.2152391203413</v>
      </c>
      <c r="E217" s="8">
        <v>531.3432998874448</v>
      </c>
      <c r="F217" s="8">
        <v>1706.5585390077861</v>
      </c>
      <c r="G217" s="8">
        <v>384.96526131288556</v>
      </c>
      <c r="H217" s="8">
        <v>157.41308701932928</v>
      </c>
      <c r="I217" s="8">
        <v>542.37834833221484</v>
      </c>
      <c r="J217" s="12">
        <v>0.17910749659665243</v>
      </c>
      <c r="K217" s="12">
        <v>0.1521713978910598</v>
      </c>
      <c r="L217" s="8">
        <v>14.418759054150309</v>
      </c>
      <c r="M217" s="8">
        <v>15.708096515257044</v>
      </c>
      <c r="N217" s="8">
        <v>22.340641522968497</v>
      </c>
      <c r="O217" s="8">
        <v>28.093826152146079</v>
      </c>
      <c r="P217" s="15">
        <v>1.4149660767913614</v>
      </c>
      <c r="Q217" s="15">
        <v>1.1720393179900248</v>
      </c>
      <c r="R217" s="8">
        <v>275.68968659737658</v>
      </c>
      <c r="S217" s="8">
        <v>133.8398530475088</v>
      </c>
      <c r="T217" s="8">
        <v>267.22123692318041</v>
      </c>
      <c r="U217" s="8">
        <v>128.81243413922869</v>
      </c>
      <c r="V217" s="8">
        <v>1648.5158345004322</v>
      </c>
      <c r="W217" s="8">
        <v>319.21255538726552</v>
      </c>
      <c r="X217" s="8">
        <v>6561.5078176594106</v>
      </c>
      <c r="Y217" s="8">
        <v>3883.6803632004026</v>
      </c>
    </row>
    <row r="218" spans="1:25" x14ac:dyDescent="0.2">
      <c r="A218" s="6" t="str">
        <f t="shared" si="32"/>
        <v>8- VERs Assigned to Washington&amp;2042</v>
      </c>
      <c r="B218" s="6" t="str">
        <f>'Scenario List'!$A$10</f>
        <v>8- VERs Assigned to Washington</v>
      </c>
      <c r="C218" s="6">
        <v>2042</v>
      </c>
      <c r="D218" s="8">
        <v>1273.6365855737361</v>
      </c>
      <c r="E218" s="8">
        <v>565.89656768713962</v>
      </c>
      <c r="F218" s="8">
        <v>1839.5331532608757</v>
      </c>
      <c r="G218" s="8">
        <v>404.44286468583812</v>
      </c>
      <c r="H218" s="8">
        <v>177.41195051007247</v>
      </c>
      <c r="I218" s="8">
        <v>581.85481519591053</v>
      </c>
      <c r="J218" s="12">
        <v>0.19187016623202649</v>
      </c>
      <c r="K218" s="12">
        <v>0.16014518492880614</v>
      </c>
      <c r="L218" s="8">
        <v>16.994278275191046</v>
      </c>
      <c r="M218" s="8">
        <v>21.305255650775148</v>
      </c>
      <c r="N218" s="8">
        <v>29.070733530710143</v>
      </c>
      <c r="O218" s="8">
        <v>40.904726674298601</v>
      </c>
      <c r="P218" s="15">
        <v>1.0514257822839785</v>
      </c>
      <c r="Q218" s="15">
        <v>0.94080785624438001</v>
      </c>
      <c r="R218" s="8">
        <v>479.38097913647391</v>
      </c>
      <c r="S218" s="8">
        <v>244.6195852210281</v>
      </c>
      <c r="T218" s="8">
        <v>461.83833416038846</v>
      </c>
      <c r="U218" s="8">
        <v>233.30768072219149</v>
      </c>
      <c r="V218" s="8">
        <v>1979.4516080739115</v>
      </c>
      <c r="W218" s="8">
        <v>580.96079233951093</v>
      </c>
      <c r="X218" s="8">
        <v>6638.0126237736267</v>
      </c>
      <c r="Y218" s="8">
        <v>3925.2159177191129</v>
      </c>
    </row>
    <row r="219" spans="1:25" x14ac:dyDescent="0.2">
      <c r="A219" s="6" t="str">
        <f t="shared" si="32"/>
        <v>8- VERs Assigned to Washington&amp;2043</v>
      </c>
      <c r="B219" s="6" t="str">
        <f>'Scenario List'!$A$10</f>
        <v>8- VERs Assigned to Washington</v>
      </c>
      <c r="C219" s="6">
        <v>2043</v>
      </c>
      <c r="D219" s="8">
        <v>1337.7294500489052</v>
      </c>
      <c r="E219" s="8">
        <v>592.85931509486988</v>
      </c>
      <c r="F219" s="8">
        <v>1930.5887651437752</v>
      </c>
      <c r="G219" s="8">
        <v>435.89554869401286</v>
      </c>
      <c r="H219" s="8">
        <v>189.4759608548795</v>
      </c>
      <c r="I219" s="8">
        <v>625.37150954889239</v>
      </c>
      <c r="J219" s="12">
        <v>0.19906077335432718</v>
      </c>
      <c r="K219" s="12">
        <v>0.16570014169905073</v>
      </c>
      <c r="L219" s="8">
        <v>18.556362872594569</v>
      </c>
      <c r="M219" s="8">
        <v>21.37850205402075</v>
      </c>
      <c r="N219" s="8">
        <v>33.834821459523639</v>
      </c>
      <c r="O219" s="8">
        <v>42.306659040864787</v>
      </c>
      <c r="P219" s="15">
        <v>1.0558106024339435</v>
      </c>
      <c r="Q219" s="15">
        <v>0.9456257481495971</v>
      </c>
      <c r="R219" s="8">
        <v>514.25769075144353</v>
      </c>
      <c r="S219" s="8">
        <v>264.51692948810279</v>
      </c>
      <c r="T219" s="8">
        <v>496.71002818312405</v>
      </c>
      <c r="U219" s="8">
        <v>253.20502498926618</v>
      </c>
      <c r="V219" s="8">
        <v>1838.3135923953278</v>
      </c>
      <c r="W219" s="8">
        <v>485.55593174943152</v>
      </c>
      <c r="X219" s="8">
        <v>6720.2062340416687</v>
      </c>
      <c r="Y219" s="8">
        <v>3969.5280070370277</v>
      </c>
    </row>
    <row r="220" spans="1:25" x14ac:dyDescent="0.2">
      <c r="A220" s="6" t="str">
        <f t="shared" si="32"/>
        <v>8- VERs Assigned to Washington&amp;2044</v>
      </c>
      <c r="B220" s="6" t="str">
        <f>'Scenario List'!$A$10</f>
        <v>8- VERs Assigned to Washington</v>
      </c>
      <c r="C220" s="6">
        <v>2044</v>
      </c>
      <c r="D220" s="8">
        <v>1392.4065944379049</v>
      </c>
      <c r="E220" s="8">
        <v>620.02423229663805</v>
      </c>
      <c r="F220" s="8">
        <v>2012.430826734543</v>
      </c>
      <c r="G220" s="8">
        <v>463.29270995633783</v>
      </c>
      <c r="H220" s="8">
        <v>201.04559477473344</v>
      </c>
      <c r="I220" s="8">
        <v>664.33830473107128</v>
      </c>
      <c r="J220" s="12">
        <v>0.20439434643760598</v>
      </c>
      <c r="K220" s="12">
        <v>0.17106223459374537</v>
      </c>
      <c r="L220" s="8">
        <v>21.863766726999895</v>
      </c>
      <c r="M220" s="8">
        <v>25.436168427668484</v>
      </c>
      <c r="N220" s="8">
        <v>40.37384585488185</v>
      </c>
      <c r="O220" s="8">
        <v>45.485430354508097</v>
      </c>
      <c r="P220" s="15">
        <v>1.1864032838977656</v>
      </c>
      <c r="Q220" s="15">
        <v>1.0443256740314903</v>
      </c>
      <c r="R220" s="8">
        <v>550.91661135324387</v>
      </c>
      <c r="S220" s="8">
        <v>285.40069108833558</v>
      </c>
      <c r="T220" s="8">
        <v>533.42623029992933</v>
      </c>
      <c r="U220" s="8">
        <v>274.11969343239195</v>
      </c>
      <c r="V220" s="8">
        <v>1773.6041699538239</v>
      </c>
      <c r="W220" s="8">
        <v>463.97405882874796</v>
      </c>
      <c r="X220" s="8">
        <v>6812.3537598088851</v>
      </c>
      <c r="Y220" s="8">
        <v>4017.5435159933568</v>
      </c>
    </row>
    <row r="221" spans="1:25" x14ac:dyDescent="0.2">
      <c r="A221" s="6" t="str">
        <f t="shared" si="32"/>
        <v>8- VERs Assigned to Washington&amp;2045</v>
      </c>
      <c r="B221" s="6" t="str">
        <f>'Scenario List'!$A$10</f>
        <v>8- VERs Assigned to Washington</v>
      </c>
      <c r="C221" s="6">
        <v>2045</v>
      </c>
      <c r="D221" s="8">
        <v>1612.7521652455962</v>
      </c>
      <c r="E221" s="8">
        <v>675.84595578123322</v>
      </c>
      <c r="F221" s="8">
        <v>2288.5981210268292</v>
      </c>
      <c r="G221" s="8">
        <v>556.14928609422009</v>
      </c>
      <c r="H221" s="8">
        <v>240.41491934944054</v>
      </c>
      <c r="I221" s="8">
        <v>796.56420544366063</v>
      </c>
      <c r="J221" s="12">
        <v>0.23354375234411018</v>
      </c>
      <c r="K221" s="12">
        <v>0.18374193116994875</v>
      </c>
      <c r="L221" s="8">
        <v>21.14063139502441</v>
      </c>
      <c r="M221" s="8">
        <v>23.952805454063316</v>
      </c>
      <c r="N221" s="8">
        <v>39.515624476897187</v>
      </c>
      <c r="O221" s="8">
        <v>45.075142669607715</v>
      </c>
      <c r="P221" s="15">
        <v>0.69485529321780637</v>
      </c>
      <c r="Q221" s="15">
        <v>0.57997833399660692</v>
      </c>
      <c r="R221" s="8">
        <v>909.10249628472991</v>
      </c>
      <c r="S221" s="8">
        <v>352.2571889870473</v>
      </c>
      <c r="T221" s="8">
        <v>880.20964125476939</v>
      </c>
      <c r="U221" s="8">
        <v>340.94528448821069</v>
      </c>
      <c r="V221" s="8">
        <v>2788.2923520365794</v>
      </c>
      <c r="W221" s="8">
        <v>622.79749593307076</v>
      </c>
      <c r="X221" s="8">
        <v>6905.5675823402889</v>
      </c>
      <c r="Y221" s="8">
        <v>4070.0251012408253</v>
      </c>
    </row>
    <row r="222" spans="1:25" x14ac:dyDescent="0.2">
      <c r="A222" s="6" t="str">
        <f t="shared" si="32"/>
        <v>8- VERs Assigned to Washington&amp;NPV</v>
      </c>
      <c r="B222" s="6" t="str">
        <f>'Scenario List'!$A$10</f>
        <v>8- VERs Assigned to Washington</v>
      </c>
      <c r="C222" s="3" t="s">
        <v>6</v>
      </c>
      <c r="D222" s="16">
        <f t="shared" ref="D222:E222" si="33">NPV($B$1,D198:D221)</f>
        <v>10186.32216099011</v>
      </c>
      <c r="E222" s="16">
        <f t="shared" si="33"/>
        <v>4821.7544849071146</v>
      </c>
      <c r="F222" s="16">
        <f>NPV($B$1,F198:F221)</f>
        <v>15008.076645897228</v>
      </c>
      <c r="G222" s="16">
        <f t="shared" ref="G222:I222" si="34">NPV($B$1,G198:G221)</f>
        <v>4240.9259986900734</v>
      </c>
      <c r="H222" s="16">
        <f t="shared" si="34"/>
        <v>1690.7521263222491</v>
      </c>
      <c r="I222" s="16">
        <f t="shared" si="34"/>
        <v>5931.6781250123222</v>
      </c>
      <c r="L222" s="52">
        <f t="shared" ref="L222:Q222" si="35">NPV($B$1,L198:L221)</f>
        <v>155.40305894207572</v>
      </c>
      <c r="M222" s="52">
        <f t="shared" si="35"/>
        <v>120.75618058342621</v>
      </c>
      <c r="N222" s="52">
        <f t="shared" si="35"/>
        <v>267.74574236000518</v>
      </c>
      <c r="O222" s="52">
        <f t="shared" si="35"/>
        <v>216.70887693980231</v>
      </c>
      <c r="P222" s="52">
        <f t="shared" si="35"/>
        <v>18.817607703736261</v>
      </c>
      <c r="Q222" s="52">
        <f t="shared" si="35"/>
        <v>19.521741415473951</v>
      </c>
      <c r="X222" s="52">
        <f>-PMT($B$1,22,NPV($B$1,X200:X221))</f>
        <v>6093.0918834838867</v>
      </c>
      <c r="Y222" s="52">
        <f>-PMT($B$1,22,NPV($B$1,Y200:Y221))</f>
        <v>3634.7335485158533</v>
      </c>
    </row>
    <row r="223" spans="1:25" x14ac:dyDescent="0.2">
      <c r="A223" s="6" t="str">
        <f t="shared" si="32"/>
        <v>8- VERs Assigned to Washington&amp;Levelized</v>
      </c>
      <c r="B223" s="6" t="str">
        <f>'Scenario List'!$A$10</f>
        <v>8- VERs Assigned to Washington</v>
      </c>
      <c r="C223" s="3" t="s">
        <v>7</v>
      </c>
      <c r="D223" s="16">
        <f t="shared" ref="D223:I223" si="36">-PMT($B$1,COUNT(D198:D221),D222)</f>
        <v>866.19551020771667</v>
      </c>
      <c r="E223" s="16">
        <f t="shared" si="36"/>
        <v>410.0186524774611</v>
      </c>
      <c r="F223" s="16">
        <f t="shared" si="36"/>
        <v>1276.2141626851781</v>
      </c>
      <c r="G223" s="16">
        <f t="shared" si="36"/>
        <v>360.62781062006553</v>
      </c>
      <c r="H223" s="16">
        <f t="shared" si="36"/>
        <v>143.7733735050189</v>
      </c>
      <c r="I223" s="16">
        <f t="shared" si="36"/>
        <v>504.40118412508446</v>
      </c>
      <c r="L223" s="52">
        <f t="shared" ref="L223:Q223" si="37">-PMT($B$1,COUNT(L198:L221),L222)</f>
        <v>13.214723606884931</v>
      </c>
      <c r="M223" s="52">
        <f t="shared" si="37"/>
        <v>10.268520845705224</v>
      </c>
      <c r="N223" s="52">
        <f t="shared" si="37"/>
        <v>22.767801395251169</v>
      </c>
      <c r="O223" s="52">
        <f t="shared" si="37"/>
        <v>18.427873501417682</v>
      </c>
      <c r="P223" s="52">
        <f t="shared" si="37"/>
        <v>1.6001582365270643</v>
      </c>
      <c r="Q223" s="52">
        <f t="shared" si="37"/>
        <v>1.6600343576681023</v>
      </c>
    </row>
    <row r="224" spans="1:25" x14ac:dyDescent="0.2">
      <c r="A224" s="6" t="str">
        <f t="shared" si="32"/>
        <v>&amp;</v>
      </c>
      <c r="C224" s="3"/>
      <c r="D224" s="16"/>
      <c r="E224" s="16"/>
      <c r="F224" s="16"/>
      <c r="G224" s="16"/>
      <c r="H224" s="16"/>
      <c r="I224" s="16"/>
      <c r="L224" s="52"/>
      <c r="M224" s="52"/>
      <c r="N224" s="52"/>
      <c r="O224" s="52"/>
      <c r="P224" s="52"/>
      <c r="Q224" s="52"/>
    </row>
    <row r="225" spans="1:25" x14ac:dyDescent="0.2">
      <c r="A225" s="6" t="str">
        <f t="shared" si="32"/>
        <v>&amp;</v>
      </c>
      <c r="C225" s="3"/>
      <c r="D225" s="16"/>
      <c r="E225" s="16"/>
      <c r="F225" s="16"/>
      <c r="G225" s="16"/>
      <c r="H225" s="16"/>
      <c r="I225" s="16"/>
      <c r="L225" s="52"/>
      <c r="M225" s="52"/>
      <c r="N225" s="52"/>
      <c r="O225" s="52"/>
      <c r="P225" s="52"/>
      <c r="Q225" s="52"/>
      <c r="X225" s="52"/>
      <c r="Y225" s="52"/>
    </row>
    <row r="226" spans="1:25" x14ac:dyDescent="0.2">
      <c r="A226" s="6" t="str">
        <f t="shared" si="32"/>
        <v>9- Low Economic Growth Loads&amp;2023</v>
      </c>
      <c r="B226" s="6" t="str">
        <f>'Scenario List'!$A$11</f>
        <v>9- Low Economic Growth Loads</v>
      </c>
      <c r="C226" s="6">
        <v>2023</v>
      </c>
      <c r="D226" s="8">
        <v>644.35381508278806</v>
      </c>
      <c r="E226" s="8">
        <v>316.40239455462665</v>
      </c>
      <c r="F226" s="8">
        <v>960.75620963741471</v>
      </c>
      <c r="G226" s="8">
        <v>410.77378154877863</v>
      </c>
      <c r="H226" s="8">
        <v>125.83890972954545</v>
      </c>
      <c r="I226" s="8">
        <v>536.61269127832406</v>
      </c>
      <c r="J226" s="12">
        <v>0.11228217775301008</v>
      </c>
      <c r="K226" s="12">
        <v>0.10242299380892764</v>
      </c>
      <c r="L226" s="8">
        <v>16.808400861879495</v>
      </c>
      <c r="M226" s="8">
        <v>9.4395370395143168</v>
      </c>
      <c r="N226" s="8">
        <v>27.712544310744107</v>
      </c>
      <c r="O226" s="8">
        <v>15.74892153057101</v>
      </c>
      <c r="P226" s="15">
        <v>2.5071495936225858</v>
      </c>
      <c r="Q226" s="15">
        <v>2.8792050200375625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5738.700726843661</v>
      </c>
      <c r="Y226" s="8">
        <v>3475.0272683816693</v>
      </c>
    </row>
    <row r="227" spans="1:25" x14ac:dyDescent="0.2">
      <c r="A227" s="6" t="str">
        <f t="shared" si="32"/>
        <v>9- Low Economic Growth Loads&amp;2024</v>
      </c>
      <c r="B227" s="6" t="str">
        <f>'Scenario List'!$A$11</f>
        <v>9- Low Economic Growth Loads</v>
      </c>
      <c r="C227" s="6">
        <v>2024</v>
      </c>
      <c r="D227" s="8">
        <v>657.51430162498752</v>
      </c>
      <c r="E227" s="8">
        <v>322.02778395152842</v>
      </c>
      <c r="F227" s="8">
        <v>979.542085576516</v>
      </c>
      <c r="G227" s="8">
        <v>417.64620468087497</v>
      </c>
      <c r="H227" s="8">
        <v>127.06130026484387</v>
      </c>
      <c r="I227" s="8">
        <v>544.70750494571882</v>
      </c>
      <c r="J227" s="12">
        <v>0.11356376331802349</v>
      </c>
      <c r="K227" s="12">
        <v>0.10392305090030773</v>
      </c>
      <c r="L227" s="8">
        <v>13.118296266483137</v>
      </c>
      <c r="M227" s="8">
        <v>7.2914270703604647</v>
      </c>
      <c r="N227" s="8">
        <v>22.189711054291905</v>
      </c>
      <c r="O227" s="8">
        <v>12.611182502166344</v>
      </c>
      <c r="P227" s="15">
        <v>2.4532169693564638</v>
      </c>
      <c r="Q227" s="15">
        <v>2.9672417086309277</v>
      </c>
      <c r="R227" s="8">
        <v>1.0380200044496289E-2</v>
      </c>
      <c r="S227" s="8">
        <v>0</v>
      </c>
      <c r="T227" s="8">
        <v>0.11416085097882772</v>
      </c>
      <c r="U227" s="8">
        <v>0</v>
      </c>
      <c r="V227" s="8">
        <v>0.97729443319816856</v>
      </c>
      <c r="W227" s="8">
        <v>0</v>
      </c>
      <c r="X227" s="8">
        <v>5789.824873834862</v>
      </c>
      <c r="Y227" s="8">
        <v>3486.4740129106776</v>
      </c>
    </row>
    <row r="228" spans="1:25" x14ac:dyDescent="0.2">
      <c r="A228" s="6" t="str">
        <f t="shared" si="32"/>
        <v>9- Low Economic Growth Loads&amp;2025</v>
      </c>
      <c r="B228" s="6" t="str">
        <f>'Scenario List'!$A$11</f>
        <v>9- Low Economic Growth Loads</v>
      </c>
      <c r="C228" s="6">
        <v>2025</v>
      </c>
      <c r="D228" s="8">
        <v>681.54533740636134</v>
      </c>
      <c r="E228" s="8">
        <v>329.72969720414318</v>
      </c>
      <c r="F228" s="8">
        <v>1011.2750346105045</v>
      </c>
      <c r="G228" s="8">
        <v>413.05736280193076</v>
      </c>
      <c r="H228" s="8">
        <v>127.22365407548794</v>
      </c>
      <c r="I228" s="8">
        <v>540.28101687741866</v>
      </c>
      <c r="J228" s="12">
        <v>0.11700757681961146</v>
      </c>
      <c r="K228" s="12">
        <v>0.10610308494819198</v>
      </c>
      <c r="L228" s="8">
        <v>10.311514288149159</v>
      </c>
      <c r="M228" s="8">
        <v>5.6563937497784096</v>
      </c>
      <c r="N228" s="8">
        <v>17.599896702247662</v>
      </c>
      <c r="O228" s="8">
        <v>9.6018397311251249</v>
      </c>
      <c r="P228" s="15">
        <v>2.267704348036649</v>
      </c>
      <c r="Q228" s="15">
        <v>2.7196586755011132</v>
      </c>
      <c r="R228" s="8">
        <v>0.45467047553924345</v>
      </c>
      <c r="S228" s="8">
        <v>0</v>
      </c>
      <c r="T228" s="8">
        <v>0.55975956888744371</v>
      </c>
      <c r="U228" s="8">
        <v>0</v>
      </c>
      <c r="V228" s="8">
        <v>1.9714226177824756</v>
      </c>
      <c r="W228" s="8">
        <v>0</v>
      </c>
      <c r="X228" s="8">
        <v>5824.796615154999</v>
      </c>
      <c r="Y228" s="8">
        <v>3498.6912336044452</v>
      </c>
    </row>
    <row r="229" spans="1:25" x14ac:dyDescent="0.2">
      <c r="A229" s="6" t="str">
        <f t="shared" si="32"/>
        <v>9- Low Economic Growth Loads&amp;2026</v>
      </c>
      <c r="B229" s="6" t="str">
        <f>'Scenario List'!$A$11</f>
        <v>9- Low Economic Growth Loads</v>
      </c>
      <c r="C229" s="6">
        <v>2026</v>
      </c>
      <c r="D229" s="8">
        <v>690.74075559956827</v>
      </c>
      <c r="E229" s="8">
        <v>339.81368525530127</v>
      </c>
      <c r="F229" s="8">
        <v>1030.5544408548694</v>
      </c>
      <c r="G229" s="8">
        <v>311.9875637683005</v>
      </c>
      <c r="H229" s="8">
        <v>129.39951560273704</v>
      </c>
      <c r="I229" s="8">
        <v>441.38707937103754</v>
      </c>
      <c r="J229" s="12">
        <v>0.11922333229143015</v>
      </c>
      <c r="K229" s="12">
        <v>0.11026899263578525</v>
      </c>
      <c r="L229" s="8">
        <v>13.345170320937957</v>
      </c>
      <c r="M229" s="8">
        <v>7.2074019038641683</v>
      </c>
      <c r="N229" s="8">
        <v>23.111092296416217</v>
      </c>
      <c r="O229" s="8">
        <v>12.583249038356996</v>
      </c>
      <c r="P229" s="15">
        <v>1.357664703805691</v>
      </c>
      <c r="Q229" s="15">
        <v>1.4922093815351607</v>
      </c>
      <c r="R229" s="8">
        <v>1.4307627098382942</v>
      </c>
      <c r="S229" s="8">
        <v>0</v>
      </c>
      <c r="T229" s="8">
        <v>1.5898481240728657</v>
      </c>
      <c r="U229" s="8">
        <v>0</v>
      </c>
      <c r="V229" s="8">
        <v>2.9826784510599325</v>
      </c>
      <c r="W229" s="8">
        <v>0</v>
      </c>
      <c r="X229" s="8">
        <v>5793.6709394358977</v>
      </c>
      <c r="Y229" s="8">
        <v>3474.0383743474008</v>
      </c>
    </row>
    <row r="230" spans="1:25" x14ac:dyDescent="0.2">
      <c r="A230" s="6" t="str">
        <f t="shared" si="32"/>
        <v>9- Low Economic Growth Loads&amp;2027</v>
      </c>
      <c r="B230" s="6" t="str">
        <f>'Scenario List'!$A$11</f>
        <v>9- Low Economic Growth Loads</v>
      </c>
      <c r="C230" s="6">
        <v>2027</v>
      </c>
      <c r="D230" s="8">
        <v>709.04180964882585</v>
      </c>
      <c r="E230" s="8">
        <v>343.48321166195529</v>
      </c>
      <c r="F230" s="8">
        <v>1052.5250213107811</v>
      </c>
      <c r="G230" s="8">
        <v>308.3650278791572</v>
      </c>
      <c r="H230" s="8">
        <v>124.77318654795744</v>
      </c>
      <c r="I230" s="8">
        <v>433.13821442711463</v>
      </c>
      <c r="J230" s="12">
        <v>0.12244900966255066</v>
      </c>
      <c r="K230" s="12">
        <v>0.11126928654901043</v>
      </c>
      <c r="L230" s="8">
        <v>10.742483338435255</v>
      </c>
      <c r="M230" s="8">
        <v>5.9430323336166149</v>
      </c>
      <c r="N230" s="8">
        <v>15.761654473080768</v>
      </c>
      <c r="O230" s="8">
        <v>8.6162132060760257</v>
      </c>
      <c r="P230" s="15">
        <v>1.532226553385005</v>
      </c>
      <c r="Q230" s="15">
        <v>1.4329042999731518</v>
      </c>
      <c r="R230" s="8">
        <v>3.1283509710090693</v>
      </c>
      <c r="S230" s="8">
        <v>0</v>
      </c>
      <c r="T230" s="8">
        <v>3.3425748974627774</v>
      </c>
      <c r="U230" s="8">
        <v>0</v>
      </c>
      <c r="V230" s="8">
        <v>4.0266198386112118</v>
      </c>
      <c r="W230" s="8">
        <v>0</v>
      </c>
      <c r="X230" s="8">
        <v>5790.506690113938</v>
      </c>
      <c r="Y230" s="8">
        <v>3478.2313231660146</v>
      </c>
    </row>
    <row r="231" spans="1:25" x14ac:dyDescent="0.2">
      <c r="A231" s="6" t="str">
        <f t="shared" si="32"/>
        <v>9- Low Economic Growth Loads&amp;2028</v>
      </c>
      <c r="B231" s="6" t="str">
        <f>'Scenario List'!$A$11</f>
        <v>9- Low Economic Growth Loads</v>
      </c>
      <c r="C231" s="6">
        <v>2028</v>
      </c>
      <c r="D231" s="8">
        <v>735.38501219852412</v>
      </c>
      <c r="E231" s="8">
        <v>351.68678985637712</v>
      </c>
      <c r="F231" s="8">
        <v>1087.0718020549011</v>
      </c>
      <c r="G231" s="8">
        <v>313.56255971100393</v>
      </c>
      <c r="H231" s="8">
        <v>124.3372626026236</v>
      </c>
      <c r="I231" s="8">
        <v>437.89982231362751</v>
      </c>
      <c r="J231" s="12">
        <v>0.12643392954935845</v>
      </c>
      <c r="K231" s="12">
        <v>0.11377825048462135</v>
      </c>
      <c r="L231" s="8">
        <v>12.797144817495809</v>
      </c>
      <c r="M231" s="8">
        <v>7.066364502228776</v>
      </c>
      <c r="N231" s="8">
        <v>24.480594419467565</v>
      </c>
      <c r="O231" s="8">
        <v>13.674084281839271</v>
      </c>
      <c r="P231" s="15">
        <v>1.5730832543333051</v>
      </c>
      <c r="Q231" s="15">
        <v>1.4184150619134281</v>
      </c>
      <c r="R231" s="8">
        <v>3.7086057963520345</v>
      </c>
      <c r="S231" s="8">
        <v>0</v>
      </c>
      <c r="T231" s="8">
        <v>3.9784722455761057</v>
      </c>
      <c r="U231" s="8">
        <v>0</v>
      </c>
      <c r="V231" s="8">
        <v>5.0761915758613707</v>
      </c>
      <c r="W231" s="8">
        <v>0</v>
      </c>
      <c r="X231" s="8">
        <v>5816.3581154174108</v>
      </c>
      <c r="Y231" s="8">
        <v>3480.5376520140226</v>
      </c>
    </row>
    <row r="232" spans="1:25" x14ac:dyDescent="0.2">
      <c r="A232" s="6" t="str">
        <f t="shared" si="32"/>
        <v>9- Low Economic Growth Loads&amp;2029</v>
      </c>
      <c r="B232" s="6" t="str">
        <f>'Scenario List'!$A$11</f>
        <v>9- Low Economic Growth Loads</v>
      </c>
      <c r="C232" s="6">
        <v>2029</v>
      </c>
      <c r="D232" s="8">
        <v>760.05261376022622</v>
      </c>
      <c r="E232" s="8">
        <v>361.97938198055431</v>
      </c>
      <c r="F232" s="8">
        <v>1122.0319957407805</v>
      </c>
      <c r="G232" s="8">
        <v>314.9686462269899</v>
      </c>
      <c r="H232" s="8">
        <v>125.63026281816082</v>
      </c>
      <c r="I232" s="8">
        <v>440.59890904515072</v>
      </c>
      <c r="J232" s="12">
        <v>0.13018069239502375</v>
      </c>
      <c r="K232" s="12">
        <v>0.1168657773977087</v>
      </c>
      <c r="L232" s="8">
        <v>14.218905770379518</v>
      </c>
      <c r="M232" s="8">
        <v>7.8326805476154</v>
      </c>
      <c r="N232" s="8">
        <v>22.76363981738109</v>
      </c>
      <c r="O232" s="8">
        <v>12.587475812289256</v>
      </c>
      <c r="P232" s="15">
        <v>1.5569681058365381</v>
      </c>
      <c r="Q232" s="15">
        <v>1.3845054987276737</v>
      </c>
      <c r="R232" s="8">
        <v>3.8710158394504659</v>
      </c>
      <c r="S232" s="8">
        <v>0</v>
      </c>
      <c r="T232" s="8">
        <v>4.1990773511035018</v>
      </c>
      <c r="U232" s="8">
        <v>0</v>
      </c>
      <c r="V232" s="8">
        <v>6.2330758716273049</v>
      </c>
      <c r="W232" s="8">
        <v>0</v>
      </c>
      <c r="X232" s="8">
        <v>5838.443472507447</v>
      </c>
      <c r="Y232" s="8">
        <v>3484.8025761606659</v>
      </c>
    </row>
    <row r="233" spans="1:25" x14ac:dyDescent="0.2">
      <c r="A233" s="6" t="str">
        <f t="shared" si="32"/>
        <v>9- Low Economic Growth Loads&amp;2030</v>
      </c>
      <c r="B233" s="6" t="str">
        <f>'Scenario List'!$A$11</f>
        <v>9- Low Economic Growth Loads</v>
      </c>
      <c r="C233" s="6">
        <v>2030</v>
      </c>
      <c r="D233" s="8">
        <v>785.35520396391234</v>
      </c>
      <c r="E233" s="8">
        <v>372.51391291563095</v>
      </c>
      <c r="F233" s="8">
        <v>1157.8691168795433</v>
      </c>
      <c r="G233" s="8">
        <v>318.61795487714863</v>
      </c>
      <c r="H233" s="8">
        <v>127.04810507312745</v>
      </c>
      <c r="I233" s="8">
        <v>445.66605995027606</v>
      </c>
      <c r="J233" s="12">
        <v>0.13402538367099676</v>
      </c>
      <c r="K233" s="12">
        <v>0.12033119799256345</v>
      </c>
      <c r="L233" s="8">
        <v>12.011359894532506</v>
      </c>
      <c r="M233" s="8">
        <v>8.5718786912985685</v>
      </c>
      <c r="N233" s="8">
        <v>20.281402810418442</v>
      </c>
      <c r="O233" s="8">
        <v>15.503713926379973</v>
      </c>
      <c r="P233" s="15">
        <v>1.4533807708328601</v>
      </c>
      <c r="Q233" s="15">
        <v>1.4482233725931652</v>
      </c>
      <c r="R233" s="8">
        <v>18.108068845705507</v>
      </c>
      <c r="S233" s="8">
        <v>0</v>
      </c>
      <c r="T233" s="8">
        <v>27.228305936522677</v>
      </c>
      <c r="U233" s="8">
        <v>0</v>
      </c>
      <c r="V233" s="8">
        <v>666.52483931614233</v>
      </c>
      <c r="W233" s="8">
        <v>0</v>
      </c>
      <c r="X233" s="8">
        <v>5859.7497164551232</v>
      </c>
      <c r="Y233" s="8">
        <v>3487.0000593955842</v>
      </c>
    </row>
    <row r="234" spans="1:25" x14ac:dyDescent="0.2">
      <c r="A234" s="6" t="str">
        <f t="shared" si="32"/>
        <v>9- Low Economic Growth Loads&amp;2031</v>
      </c>
      <c r="B234" s="6" t="str">
        <f>'Scenario List'!$A$11</f>
        <v>9- Low Economic Growth Loads</v>
      </c>
      <c r="C234" s="6">
        <v>2031</v>
      </c>
      <c r="D234" s="8">
        <v>819.96499712888055</v>
      </c>
      <c r="E234" s="8">
        <v>386.2130939718221</v>
      </c>
      <c r="F234" s="8">
        <v>1206.1780911007027</v>
      </c>
      <c r="G234" s="8">
        <v>319.75402612449938</v>
      </c>
      <c r="H234" s="8">
        <v>131.13522613123754</v>
      </c>
      <c r="I234" s="8">
        <v>450.88925225573689</v>
      </c>
      <c r="J234" s="12">
        <v>0.13916232751875579</v>
      </c>
      <c r="K234" s="12">
        <v>0.1245140645005177</v>
      </c>
      <c r="L234" s="8">
        <v>10.721545713464106</v>
      </c>
      <c r="M234" s="8">
        <v>7.7348223533168765</v>
      </c>
      <c r="N234" s="8">
        <v>18.86727812396191</v>
      </c>
      <c r="O234" s="8">
        <v>13.870010882886604</v>
      </c>
      <c r="P234" s="15">
        <v>1.3682008060927986</v>
      </c>
      <c r="Q234" s="15">
        <v>1.3178533229172604</v>
      </c>
      <c r="R234" s="8">
        <v>17.486043113795098</v>
      </c>
      <c r="S234" s="8">
        <v>0</v>
      </c>
      <c r="T234" s="8">
        <v>26.558553598461756</v>
      </c>
      <c r="U234" s="8">
        <v>0</v>
      </c>
      <c r="V234" s="8">
        <v>666.28914895642993</v>
      </c>
      <c r="W234" s="8">
        <v>0</v>
      </c>
      <c r="X234" s="8">
        <v>5892.14776548178</v>
      </c>
      <c r="Y234" s="8">
        <v>3492.992932642278</v>
      </c>
    </row>
    <row r="235" spans="1:25" x14ac:dyDescent="0.2">
      <c r="A235" s="6" t="str">
        <f t="shared" si="32"/>
        <v>9- Low Economic Growth Loads&amp;2032</v>
      </c>
      <c r="B235" s="6" t="str">
        <f>'Scenario List'!$A$11</f>
        <v>9- Low Economic Growth Loads</v>
      </c>
      <c r="C235" s="6">
        <v>2032</v>
      </c>
      <c r="D235" s="8">
        <v>854.33072944115008</v>
      </c>
      <c r="E235" s="8">
        <v>397.91233017246685</v>
      </c>
      <c r="F235" s="8">
        <v>1252.2430596136169</v>
      </c>
      <c r="G235" s="8">
        <v>325.74126891281253</v>
      </c>
      <c r="H235" s="8">
        <v>132.8792381337006</v>
      </c>
      <c r="I235" s="8">
        <v>458.62050704651313</v>
      </c>
      <c r="J235" s="12">
        <v>0.14409072475517476</v>
      </c>
      <c r="K235" s="12">
        <v>0.12806516561754472</v>
      </c>
      <c r="L235" s="8">
        <v>9.0629052667036021</v>
      </c>
      <c r="M235" s="8">
        <v>8.2947563963499302</v>
      </c>
      <c r="N235" s="8">
        <v>14.651502872227283</v>
      </c>
      <c r="O235" s="8">
        <v>15.900037853936354</v>
      </c>
      <c r="P235" s="15">
        <v>1.2287693671306392</v>
      </c>
      <c r="Q235" s="15">
        <v>1.2400831169937785</v>
      </c>
      <c r="R235" s="8">
        <v>67.066083623829897</v>
      </c>
      <c r="S235" s="8">
        <v>0</v>
      </c>
      <c r="T235" s="8">
        <v>65.063076658737145</v>
      </c>
      <c r="U235" s="8">
        <v>0</v>
      </c>
      <c r="V235" s="8">
        <v>1495.3176920500125</v>
      </c>
      <c r="W235" s="8">
        <v>0</v>
      </c>
      <c r="X235" s="8">
        <v>5929.1167484426742</v>
      </c>
      <c r="Y235" s="8">
        <v>3499.0510775976045</v>
      </c>
    </row>
    <row r="236" spans="1:25" x14ac:dyDescent="0.2">
      <c r="A236" s="6" t="str">
        <f t="shared" si="32"/>
        <v>9- Low Economic Growth Loads&amp;2033</v>
      </c>
      <c r="B236" s="6" t="str">
        <f>'Scenario List'!$A$11</f>
        <v>9- Low Economic Growth Loads</v>
      </c>
      <c r="C236" s="6">
        <v>2033</v>
      </c>
      <c r="D236" s="8">
        <v>879.91727584935541</v>
      </c>
      <c r="E236" s="8">
        <v>408.68114482265571</v>
      </c>
      <c r="F236" s="8">
        <v>1288.5984206720111</v>
      </c>
      <c r="G236" s="8">
        <v>325.04197977748316</v>
      </c>
      <c r="H236" s="8">
        <v>133.23277368152037</v>
      </c>
      <c r="I236" s="8">
        <v>458.27475345900353</v>
      </c>
      <c r="J236" s="12">
        <v>0.14760297285372925</v>
      </c>
      <c r="K236" s="12">
        <v>0.13112409547043469</v>
      </c>
      <c r="L236" s="8">
        <v>9.4094794919442855</v>
      </c>
      <c r="M236" s="8">
        <v>8.1404029289560587</v>
      </c>
      <c r="N236" s="8">
        <v>15.376018414850734</v>
      </c>
      <c r="O236" s="8">
        <v>14.669252019113387</v>
      </c>
      <c r="P236" s="15">
        <v>1.2089378486478235</v>
      </c>
      <c r="Q236" s="15">
        <v>1.2104176768359198</v>
      </c>
      <c r="R236" s="8">
        <v>66.218261433744175</v>
      </c>
      <c r="S236" s="8">
        <v>0</v>
      </c>
      <c r="T236" s="8">
        <v>64.312025776635636</v>
      </c>
      <c r="U236" s="8">
        <v>0</v>
      </c>
      <c r="V236" s="8">
        <v>1490.3457192427115</v>
      </c>
      <c r="W236" s="8">
        <v>0</v>
      </c>
      <c r="X236" s="8">
        <v>5961.3790890331911</v>
      </c>
      <c r="Y236" s="8">
        <v>3507.1612024984524</v>
      </c>
    </row>
    <row r="237" spans="1:25" x14ac:dyDescent="0.2">
      <c r="A237" s="6" t="str">
        <f t="shared" si="32"/>
        <v>9- Low Economic Growth Loads&amp;2034</v>
      </c>
      <c r="B237" s="6" t="str">
        <f>'Scenario List'!$A$11</f>
        <v>9- Low Economic Growth Loads</v>
      </c>
      <c r="C237" s="6">
        <v>2034</v>
      </c>
      <c r="D237" s="8">
        <v>890.3879953691262</v>
      </c>
      <c r="E237" s="8">
        <v>410.73093074253683</v>
      </c>
      <c r="F237" s="8">
        <v>1301.1189261116631</v>
      </c>
      <c r="G237" s="8">
        <v>308.84934568996414</v>
      </c>
      <c r="H237" s="8">
        <v>124.47529765152339</v>
      </c>
      <c r="I237" s="8">
        <v>433.32464334148756</v>
      </c>
      <c r="J237" s="12">
        <v>0.148440573134066</v>
      </c>
      <c r="K237" s="12">
        <v>0.1313804294497653</v>
      </c>
      <c r="L237" s="8">
        <v>9.4654067672864102</v>
      </c>
      <c r="M237" s="8">
        <v>9.3101889197876737</v>
      </c>
      <c r="N237" s="8">
        <v>17.207100707252664</v>
      </c>
      <c r="O237" s="8">
        <v>16.718209061253134</v>
      </c>
      <c r="P237" s="15">
        <v>1.2912210297395563</v>
      </c>
      <c r="Q237" s="15">
        <v>1.1830499255774227</v>
      </c>
      <c r="R237" s="8">
        <v>65.308683426188708</v>
      </c>
      <c r="S237" s="8">
        <v>0</v>
      </c>
      <c r="T237" s="8">
        <v>63.442606846521585</v>
      </c>
      <c r="U237" s="8">
        <v>0</v>
      </c>
      <c r="V237" s="8">
        <v>1487.874875249209</v>
      </c>
      <c r="W237" s="8">
        <v>0</v>
      </c>
      <c r="X237" s="8">
        <v>5998.2791535368224</v>
      </c>
      <c r="Y237" s="8">
        <v>3515.7424780114857</v>
      </c>
    </row>
    <row r="238" spans="1:25" x14ac:dyDescent="0.2">
      <c r="A238" s="6" t="str">
        <f t="shared" si="32"/>
        <v>9- Low Economic Growth Loads&amp;2035</v>
      </c>
      <c r="B238" s="6" t="str">
        <f>'Scenario List'!$A$11</f>
        <v>9- Low Economic Growth Loads</v>
      </c>
      <c r="C238" s="6">
        <v>2035</v>
      </c>
      <c r="D238" s="8">
        <v>922.54309071688976</v>
      </c>
      <c r="E238" s="8">
        <v>425.9243917647197</v>
      </c>
      <c r="F238" s="8">
        <v>1348.4674824816095</v>
      </c>
      <c r="G238" s="8">
        <v>316.33506580468702</v>
      </c>
      <c r="H238" s="8">
        <v>128.5659406242132</v>
      </c>
      <c r="I238" s="8">
        <v>444.90100642890025</v>
      </c>
      <c r="J238" s="12">
        <v>0.1528142675252902</v>
      </c>
      <c r="K238" s="12">
        <v>0.13590795242220957</v>
      </c>
      <c r="L238" s="8">
        <v>10.45749444698558</v>
      </c>
      <c r="M238" s="8">
        <v>9.9432432768621197</v>
      </c>
      <c r="N238" s="8">
        <v>17.933551596941626</v>
      </c>
      <c r="O238" s="8">
        <v>18.05008666326961</v>
      </c>
      <c r="P238" s="15">
        <v>1.3087153751833742</v>
      </c>
      <c r="Q238" s="15">
        <v>1.184735001764377</v>
      </c>
      <c r="R238" s="8">
        <v>64.467386357622999</v>
      </c>
      <c r="S238" s="8">
        <v>0</v>
      </c>
      <c r="T238" s="8">
        <v>62.643555403935025</v>
      </c>
      <c r="U238" s="8">
        <v>0</v>
      </c>
      <c r="V238" s="8">
        <v>1498.7125051579469</v>
      </c>
      <c r="W238" s="8">
        <v>0</v>
      </c>
      <c r="X238" s="8">
        <v>6037.0219722069623</v>
      </c>
      <c r="Y238" s="8">
        <v>3525.2506625279807</v>
      </c>
    </row>
    <row r="239" spans="1:25" x14ac:dyDescent="0.2">
      <c r="A239" s="6" t="str">
        <f t="shared" si="32"/>
        <v>9- Low Economic Growth Loads&amp;2036</v>
      </c>
      <c r="B239" s="6" t="str">
        <f>'Scenario List'!$A$11</f>
        <v>9- Low Economic Growth Loads</v>
      </c>
      <c r="C239" s="6">
        <v>2036</v>
      </c>
      <c r="D239" s="8">
        <v>951.52544230922729</v>
      </c>
      <c r="E239" s="8">
        <v>439.0955307408089</v>
      </c>
      <c r="F239" s="8">
        <v>1390.6209730500361</v>
      </c>
      <c r="G239" s="8">
        <v>318.19617831354799</v>
      </c>
      <c r="H239" s="8">
        <v>130.17072435348138</v>
      </c>
      <c r="I239" s="8">
        <v>448.36690266702936</v>
      </c>
      <c r="J239" s="12">
        <v>0.15647580437321992</v>
      </c>
      <c r="K239" s="12">
        <v>0.1397004724446646</v>
      </c>
      <c r="L239" s="8">
        <v>11.197810739854983</v>
      </c>
      <c r="M239" s="8">
        <v>9.6910263569780142</v>
      </c>
      <c r="N239" s="8">
        <v>19.050976085381279</v>
      </c>
      <c r="O239" s="8">
        <v>17.279569432898384</v>
      </c>
      <c r="P239" s="15">
        <v>1.317871545712781</v>
      </c>
      <c r="Q239" s="15">
        <v>1.1680797959953411</v>
      </c>
      <c r="R239" s="8">
        <v>66.850278666416131</v>
      </c>
      <c r="S239" s="8">
        <v>2.9304971753678117</v>
      </c>
      <c r="T239" s="8">
        <v>64.867025303526063</v>
      </c>
      <c r="U239" s="8">
        <v>2.8316096120773171</v>
      </c>
      <c r="V239" s="8">
        <v>1508.7905928837058</v>
      </c>
      <c r="W239" s="8">
        <v>2.929142684048446</v>
      </c>
      <c r="X239" s="8">
        <v>6080.9749221016064</v>
      </c>
      <c r="Y239" s="8">
        <v>3535.3358725379021</v>
      </c>
    </row>
    <row r="240" spans="1:25" x14ac:dyDescent="0.2">
      <c r="A240" s="6" t="str">
        <f t="shared" si="32"/>
        <v>9- Low Economic Growth Loads&amp;2037</v>
      </c>
      <c r="B240" s="6" t="str">
        <f>'Scenario List'!$A$11</f>
        <v>9- Low Economic Growth Loads</v>
      </c>
      <c r="C240" s="6">
        <v>2037</v>
      </c>
      <c r="D240" s="8">
        <v>994.61767017771069</v>
      </c>
      <c r="E240" s="8">
        <v>459.19569133302718</v>
      </c>
      <c r="F240" s="8">
        <v>1453.8133615107379</v>
      </c>
      <c r="G240" s="8">
        <v>334.02948551166719</v>
      </c>
      <c r="H240" s="8">
        <v>138.19559808419331</v>
      </c>
      <c r="I240" s="8">
        <v>472.2250835958605</v>
      </c>
      <c r="J240" s="12">
        <v>0.16248554268463578</v>
      </c>
      <c r="K240" s="12">
        <v>0.14549687289299354</v>
      </c>
      <c r="L240" s="8">
        <v>12.107759099844008</v>
      </c>
      <c r="M240" s="8">
        <v>10.490576663132762</v>
      </c>
      <c r="N240" s="8">
        <v>20.243150223437951</v>
      </c>
      <c r="O240" s="8">
        <v>17.629085565517173</v>
      </c>
      <c r="P240" s="15">
        <v>1.3803099190432544</v>
      </c>
      <c r="Q240" s="15">
        <v>1.1377550729811892</v>
      </c>
      <c r="R240" s="8">
        <v>104.86068477078548</v>
      </c>
      <c r="S240" s="8">
        <v>23.238769371033321</v>
      </c>
      <c r="T240" s="8">
        <v>102.92452393136955</v>
      </c>
      <c r="U240" s="8">
        <v>23.139610882911896</v>
      </c>
      <c r="V240" s="8">
        <v>1324.197753589058</v>
      </c>
      <c r="W240" s="8">
        <v>-100.49583397875112</v>
      </c>
      <c r="X240" s="8">
        <v>6121.268721784927</v>
      </c>
      <c r="Y240" s="8">
        <v>3547.7639045516516</v>
      </c>
    </row>
    <row r="241" spans="1:25" x14ac:dyDescent="0.2">
      <c r="A241" s="6" t="str">
        <f t="shared" si="32"/>
        <v>9- Low Economic Growth Loads&amp;2038</v>
      </c>
      <c r="B241" s="6" t="str">
        <f>'Scenario List'!$A$11</f>
        <v>9- Low Economic Growth Loads</v>
      </c>
      <c r="C241" s="6">
        <v>2038</v>
      </c>
      <c r="D241" s="8">
        <v>1027.2272922781901</v>
      </c>
      <c r="E241" s="8">
        <v>473.1365905948287</v>
      </c>
      <c r="F241" s="8">
        <v>1500.3638828730188</v>
      </c>
      <c r="G241" s="8">
        <v>334.49206280633894</v>
      </c>
      <c r="H241" s="8">
        <v>139.63262933372056</v>
      </c>
      <c r="I241" s="8">
        <v>474.12469214005949</v>
      </c>
      <c r="J241" s="12">
        <v>0.16655779099072354</v>
      </c>
      <c r="K241" s="12">
        <v>0.14925549923863823</v>
      </c>
      <c r="L241" s="8">
        <v>13.756613999349547</v>
      </c>
      <c r="M241" s="8">
        <v>12.151680348806282</v>
      </c>
      <c r="N241" s="8">
        <v>22.405272474148305</v>
      </c>
      <c r="O241" s="8">
        <v>20.931596227708809</v>
      </c>
      <c r="P241" s="15">
        <v>1.3504871667853442</v>
      </c>
      <c r="Q241" s="15">
        <v>1.0888247373953821</v>
      </c>
      <c r="R241" s="8">
        <v>104.14522886304371</v>
      </c>
      <c r="S241" s="8">
        <v>23.238769371033321</v>
      </c>
      <c r="T241" s="8">
        <v>102.23221898268086</v>
      </c>
      <c r="U241" s="8">
        <v>23.139610882911896</v>
      </c>
      <c r="V241" s="8">
        <v>1314.5958066613803</v>
      </c>
      <c r="W241" s="8">
        <v>-103.65513544157415</v>
      </c>
      <c r="X241" s="8">
        <v>6167.3926279161669</v>
      </c>
      <c r="Y241" s="8">
        <v>3561.1484862128018</v>
      </c>
    </row>
    <row r="242" spans="1:25" x14ac:dyDescent="0.2">
      <c r="A242" s="6" t="str">
        <f t="shared" si="32"/>
        <v>9- Low Economic Growth Loads&amp;2039</v>
      </c>
      <c r="B242" s="6" t="str">
        <f>'Scenario List'!$A$11</f>
        <v>9- Low Economic Growth Loads</v>
      </c>
      <c r="C242" s="6">
        <v>2039</v>
      </c>
      <c r="D242" s="8">
        <v>1084.0129408459284</v>
      </c>
      <c r="E242" s="8">
        <v>494.2423102118878</v>
      </c>
      <c r="F242" s="8">
        <v>1578.2552510578162</v>
      </c>
      <c r="G242" s="8">
        <v>361.83991266378416</v>
      </c>
      <c r="H242" s="8">
        <v>147.78337001185372</v>
      </c>
      <c r="I242" s="8">
        <v>509.62328267563788</v>
      </c>
      <c r="J242" s="12">
        <v>0.17436770299155799</v>
      </c>
      <c r="K242" s="12">
        <v>0.15521777837835793</v>
      </c>
      <c r="L242" s="8">
        <v>13.020030106963002</v>
      </c>
      <c r="M242" s="8">
        <v>11.638139879090627</v>
      </c>
      <c r="N242" s="8">
        <v>20.621826002735801</v>
      </c>
      <c r="O242" s="8">
        <v>19.599848862721799</v>
      </c>
      <c r="P242" s="15">
        <v>1.4468961367731754</v>
      </c>
      <c r="Q242" s="15">
        <v>1.0743949954236993</v>
      </c>
      <c r="R242" s="8">
        <v>152.32659249529942</v>
      </c>
      <c r="S242" s="8">
        <v>23.238769371033321</v>
      </c>
      <c r="T242" s="8">
        <v>150.4509625127518</v>
      </c>
      <c r="U242" s="8">
        <v>23.139610882911896</v>
      </c>
      <c r="V242" s="8">
        <v>1061.4420264302098</v>
      </c>
      <c r="W242" s="8">
        <v>-106.37878218695909</v>
      </c>
      <c r="X242" s="8">
        <v>6216.8218210594359</v>
      </c>
      <c r="Y242" s="8">
        <v>3575.9285695367143</v>
      </c>
    </row>
    <row r="243" spans="1:25" x14ac:dyDescent="0.2">
      <c r="A243" s="6" t="str">
        <f t="shared" si="32"/>
        <v>9- Low Economic Growth Loads&amp;2040</v>
      </c>
      <c r="B243" s="6" t="str">
        <f>'Scenario List'!$A$11</f>
        <v>9- Low Economic Growth Loads</v>
      </c>
      <c r="C243" s="6">
        <v>2040</v>
      </c>
      <c r="D243" s="8">
        <v>1112.5533737583194</v>
      </c>
      <c r="E243" s="8">
        <v>507.45265257958442</v>
      </c>
      <c r="F243" s="8">
        <v>1620.0060263379037</v>
      </c>
      <c r="G243" s="8">
        <v>359.88008568254111</v>
      </c>
      <c r="H243" s="8">
        <v>147.58482948354279</v>
      </c>
      <c r="I243" s="8">
        <v>507.46491516608387</v>
      </c>
      <c r="J243" s="12">
        <v>0.17734911488268665</v>
      </c>
      <c r="K243" s="12">
        <v>0.15862356189266913</v>
      </c>
      <c r="L243" s="8">
        <v>14.597587758147304</v>
      </c>
      <c r="M243" s="8">
        <v>13.147595048166391</v>
      </c>
      <c r="N243" s="8">
        <v>26.558080453155043</v>
      </c>
      <c r="O243" s="8">
        <v>25.600290052607804</v>
      </c>
      <c r="P243" s="15">
        <v>1.4728271219870099</v>
      </c>
      <c r="Q243" s="15">
        <v>1.057224131844495</v>
      </c>
      <c r="R243" s="8">
        <v>151.52065521216059</v>
      </c>
      <c r="S243" s="8">
        <v>23.27390704962249</v>
      </c>
      <c r="T243" s="8">
        <v>149.67791395164048</v>
      </c>
      <c r="U243" s="8">
        <v>23.175019486331994</v>
      </c>
      <c r="V243" s="8">
        <v>1049.1130904416063</v>
      </c>
      <c r="W243" s="8">
        <v>-110.3641484954608</v>
      </c>
      <c r="X243" s="8">
        <v>6273.2389417012546</v>
      </c>
      <c r="Y243" s="8">
        <v>3592.1680259285272</v>
      </c>
    </row>
    <row r="244" spans="1:25" x14ac:dyDescent="0.2">
      <c r="A244" s="6" t="str">
        <f t="shared" si="32"/>
        <v>9- Low Economic Growth Loads&amp;2041</v>
      </c>
      <c r="B244" s="6" t="str">
        <f>'Scenario List'!$A$11</f>
        <v>9- Low Economic Growth Loads</v>
      </c>
      <c r="C244" s="6">
        <v>2041</v>
      </c>
      <c r="D244" s="8">
        <v>1153.9254952033721</v>
      </c>
      <c r="E244" s="8">
        <v>519.38558627064458</v>
      </c>
      <c r="F244" s="8">
        <v>1673.3110814740166</v>
      </c>
      <c r="G244" s="8">
        <v>365.31091177567947</v>
      </c>
      <c r="H244" s="8">
        <v>145.49762144891434</v>
      </c>
      <c r="I244" s="8">
        <v>510.80853322459382</v>
      </c>
      <c r="J244" s="12">
        <v>0.18235571175098844</v>
      </c>
      <c r="K244" s="12">
        <v>0.16132183024542718</v>
      </c>
      <c r="L244" s="8">
        <v>14.083122376052277</v>
      </c>
      <c r="M244" s="8">
        <v>13.130664679398125</v>
      </c>
      <c r="N244" s="8">
        <v>22.70030266602663</v>
      </c>
      <c r="O244" s="8">
        <v>22.835472318055025</v>
      </c>
      <c r="P244" s="15">
        <v>1.5381508006350912</v>
      </c>
      <c r="Q244" s="15">
        <v>1.1259475313322012</v>
      </c>
      <c r="R244" s="8">
        <v>221.65409653922137</v>
      </c>
      <c r="S244" s="8">
        <v>111.85956611854213</v>
      </c>
      <c r="T244" s="8">
        <v>221.21069344579089</v>
      </c>
      <c r="U244" s="8">
        <v>106.7329887221406</v>
      </c>
      <c r="V244" s="8">
        <v>1174.8700157750927</v>
      </c>
      <c r="W244" s="8">
        <v>91.964934561778747</v>
      </c>
      <c r="X244" s="8">
        <v>6327.882379571899</v>
      </c>
      <c r="Y244" s="8">
        <v>3611.4998105413183</v>
      </c>
    </row>
    <row r="245" spans="1:25" x14ac:dyDescent="0.2">
      <c r="A245" s="6" t="str">
        <f t="shared" si="32"/>
        <v>9- Low Economic Growth Loads&amp;2042</v>
      </c>
      <c r="B245" s="6" t="str">
        <f>'Scenario List'!$A$11</f>
        <v>9- Low Economic Growth Loads</v>
      </c>
      <c r="C245" s="6">
        <v>2042</v>
      </c>
      <c r="D245" s="8">
        <v>1243.9830051257209</v>
      </c>
      <c r="E245" s="8">
        <v>546.75236861345661</v>
      </c>
      <c r="F245" s="8">
        <v>1790.7353737391775</v>
      </c>
      <c r="G245" s="8">
        <v>376.72501723999892</v>
      </c>
      <c r="H245" s="8">
        <v>158.27377440192407</v>
      </c>
      <c r="I245" s="8">
        <v>534.99879164192294</v>
      </c>
      <c r="J245" s="12">
        <v>0.19465499240281417</v>
      </c>
      <c r="K245" s="12">
        <v>0.16869427622272942</v>
      </c>
      <c r="L245" s="8">
        <v>16.075876435153294</v>
      </c>
      <c r="M245" s="8">
        <v>17.971579283594867</v>
      </c>
      <c r="N245" s="8">
        <v>25.986764270446081</v>
      </c>
      <c r="O245" s="8">
        <v>34.313595153861158</v>
      </c>
      <c r="P245" s="15">
        <v>1.3520084412414985</v>
      </c>
      <c r="Q245" s="15">
        <v>0.86649558563447626</v>
      </c>
      <c r="R245" s="8">
        <v>425.0337124729781</v>
      </c>
      <c r="S245" s="8">
        <v>200.48036286605094</v>
      </c>
      <c r="T245" s="8">
        <v>421.47798498805474</v>
      </c>
      <c r="U245" s="8">
        <v>190.3263665613693</v>
      </c>
      <c r="V245" s="8">
        <v>954.6208717030114</v>
      </c>
      <c r="W245" s="8">
        <v>301.54192274817729</v>
      </c>
      <c r="X245" s="8">
        <v>6390.7069105705423</v>
      </c>
      <c r="Y245" s="8">
        <v>3632.6531123630471</v>
      </c>
    </row>
    <row r="246" spans="1:25" x14ac:dyDescent="0.2">
      <c r="A246" s="6" t="str">
        <f t="shared" si="32"/>
        <v>9- Low Economic Growth Loads&amp;2043</v>
      </c>
      <c r="B246" s="6" t="str">
        <f>'Scenario List'!$A$11</f>
        <v>9- Low Economic Growth Loads</v>
      </c>
      <c r="C246" s="6">
        <v>2043</v>
      </c>
      <c r="D246" s="8">
        <v>1308.2132448775487</v>
      </c>
      <c r="E246" s="8">
        <v>570.22398884541576</v>
      </c>
      <c r="F246" s="8">
        <v>1878.4372337229645</v>
      </c>
      <c r="G246" s="8">
        <v>407.67218558744219</v>
      </c>
      <c r="H246" s="8">
        <v>166.70989161852003</v>
      </c>
      <c r="I246" s="8">
        <v>574.38207720596222</v>
      </c>
      <c r="J246" s="12">
        <v>0.20253106347972188</v>
      </c>
      <c r="K246" s="12">
        <v>0.17466557254600237</v>
      </c>
      <c r="L246" s="8">
        <v>17.240680865243895</v>
      </c>
      <c r="M246" s="8">
        <v>18.399755767793483</v>
      </c>
      <c r="N246" s="8">
        <v>31.798569212348454</v>
      </c>
      <c r="O246" s="8">
        <v>35.943726394220604</v>
      </c>
      <c r="P246" s="15">
        <v>1.5559932289103553</v>
      </c>
      <c r="Q246" s="15">
        <v>0.87050942001709752</v>
      </c>
      <c r="R246" s="8">
        <v>473.03134984879244</v>
      </c>
      <c r="S246" s="8">
        <v>200.48036286605094</v>
      </c>
      <c r="T246" s="8">
        <v>469.47100401107218</v>
      </c>
      <c r="U246" s="8">
        <v>190.3263665613693</v>
      </c>
      <c r="V246" s="8">
        <v>690.06175478409989</v>
      </c>
      <c r="W246" s="8">
        <v>309.67092064648625</v>
      </c>
      <c r="X246" s="8">
        <v>6459.32146111765</v>
      </c>
      <c r="Y246" s="8">
        <v>3656.2849186600079</v>
      </c>
    </row>
    <row r="247" spans="1:25" x14ac:dyDescent="0.2">
      <c r="A247" s="6" t="str">
        <f t="shared" si="32"/>
        <v>9- Low Economic Growth Loads&amp;2044</v>
      </c>
      <c r="B247" s="6" t="str">
        <f>'Scenario List'!$A$11</f>
        <v>9- Low Economic Growth Loads</v>
      </c>
      <c r="C247" s="6">
        <v>2044</v>
      </c>
      <c r="D247" s="8">
        <v>1377.3459370942337</v>
      </c>
      <c r="E247" s="8">
        <v>590.51779004939738</v>
      </c>
      <c r="F247" s="8">
        <v>1967.863727143631</v>
      </c>
      <c r="G247" s="8">
        <v>448.54026385720755</v>
      </c>
      <c r="H247" s="8">
        <v>171.51109440285566</v>
      </c>
      <c r="I247" s="8">
        <v>620.05135826006324</v>
      </c>
      <c r="J247" s="12">
        <v>0.21067386606912597</v>
      </c>
      <c r="K247" s="12">
        <v>0.17949036270958235</v>
      </c>
      <c r="L247" s="8">
        <v>18.832683034153614</v>
      </c>
      <c r="M247" s="8">
        <v>22.178843335680725</v>
      </c>
      <c r="N247" s="8">
        <v>32.841601944717581</v>
      </c>
      <c r="O247" s="8">
        <v>39.680468489787401</v>
      </c>
      <c r="P247" s="15">
        <v>1.3503902444713742</v>
      </c>
      <c r="Q247" s="15">
        <v>0.96022087652268528</v>
      </c>
      <c r="R247" s="8">
        <v>497.14899351597967</v>
      </c>
      <c r="S247" s="8">
        <v>200.48036286605094</v>
      </c>
      <c r="T247" s="8">
        <v>497.25216565904367</v>
      </c>
      <c r="U247" s="8">
        <v>190.35410972067172</v>
      </c>
      <c r="V247" s="8">
        <v>1246.3015907411134</v>
      </c>
      <c r="W247" s="8">
        <v>373.35689528507118</v>
      </c>
      <c r="X247" s="8">
        <v>6537.811085890934</v>
      </c>
      <c r="Y247" s="8">
        <v>3682.9592901201936</v>
      </c>
    </row>
    <row r="248" spans="1:25" x14ac:dyDescent="0.2">
      <c r="A248" s="6" t="str">
        <f t="shared" si="32"/>
        <v>9- Low Economic Growth Loads&amp;2045</v>
      </c>
      <c r="B248" s="6" t="str">
        <f>'Scenario List'!$A$11</f>
        <v>9- Low Economic Growth Loads</v>
      </c>
      <c r="C248" s="6">
        <v>2045</v>
      </c>
      <c r="D248" s="8">
        <v>1611.1272546834211</v>
      </c>
      <c r="E248" s="8">
        <v>637.66260434046114</v>
      </c>
      <c r="F248" s="8">
        <v>2248.7898590238824</v>
      </c>
      <c r="G248" s="8">
        <v>560.20831645641306</v>
      </c>
      <c r="H248" s="8">
        <v>202.19820179884542</v>
      </c>
      <c r="I248" s="8">
        <v>762.40651825525845</v>
      </c>
      <c r="J248" s="12">
        <v>0.24345501600713038</v>
      </c>
      <c r="K248" s="12">
        <v>0.19193893864633696</v>
      </c>
      <c r="L248" s="8">
        <v>21.888080540060198</v>
      </c>
      <c r="M248" s="8">
        <v>19.197911155463437</v>
      </c>
      <c r="N248" s="8">
        <v>35.82871507565909</v>
      </c>
      <c r="O248" s="8">
        <v>38.513034419320192</v>
      </c>
      <c r="P248" s="15">
        <v>0.74290058637260059</v>
      </c>
      <c r="Q248" s="15">
        <v>0.46777336104638978</v>
      </c>
      <c r="R248" s="8">
        <v>846.96480920456042</v>
      </c>
      <c r="S248" s="8">
        <v>259.49553915423064</v>
      </c>
      <c r="T248" s="8">
        <v>837.77472750157767</v>
      </c>
      <c r="U248" s="8">
        <v>249.44070133767042</v>
      </c>
      <c r="V248" s="8">
        <v>2388.8623045898798</v>
      </c>
      <c r="W248" s="8">
        <v>459.84871155595476</v>
      </c>
      <c r="X248" s="8">
        <v>6617.761593526724</v>
      </c>
      <c r="Y248" s="8">
        <v>3714.0063087699441</v>
      </c>
    </row>
    <row r="249" spans="1:25" x14ac:dyDescent="0.2">
      <c r="A249" s="6" t="str">
        <f t="shared" si="32"/>
        <v>9- Low Economic Growth Loads&amp;NPV</v>
      </c>
      <c r="B249" s="6" t="str">
        <f>'Scenario List'!$A$11</f>
        <v>9- Low Economic Growth Loads</v>
      </c>
      <c r="C249" s="3" t="s">
        <v>6</v>
      </c>
      <c r="D249" s="16">
        <f t="shared" ref="D249:E249" si="38">NPV($B$1,D225:D248)</f>
        <v>10105.345909987493</v>
      </c>
      <c r="E249" s="16">
        <f t="shared" si="38"/>
        <v>4707.0369410227677</v>
      </c>
      <c r="F249" s="16">
        <f>NPV($B$1,F225:F248)</f>
        <v>14812.382851010268</v>
      </c>
      <c r="G249" s="16">
        <f t="shared" ref="G249:I249" si="39">NPV($B$1,G225:G248)</f>
        <v>4165.446205473585</v>
      </c>
      <c r="H249" s="16">
        <f t="shared" si="39"/>
        <v>1576.0417675147776</v>
      </c>
      <c r="I249" s="16">
        <f t="shared" si="39"/>
        <v>5741.4879729883642</v>
      </c>
      <c r="L249" s="52">
        <f t="shared" ref="L249:Q249" si="40">NPV($B$1,L225:L248)</f>
        <v>150.61295805662564</v>
      </c>
      <c r="M249" s="52">
        <f t="shared" si="40"/>
        <v>111.27828653681566</v>
      </c>
      <c r="N249" s="52">
        <f t="shared" si="40"/>
        <v>254.16819555954959</v>
      </c>
      <c r="O249" s="52">
        <f t="shared" si="40"/>
        <v>197.84599390612553</v>
      </c>
      <c r="P249" s="52">
        <f t="shared" si="40"/>
        <v>19.05214077042174</v>
      </c>
      <c r="Q249" s="52">
        <f t="shared" si="40"/>
        <v>18.7949130710393</v>
      </c>
      <c r="X249" s="52">
        <f>-PMT($B$1,22,NPV($B$1,X227:X248))</f>
        <v>5986.5104481442186</v>
      </c>
      <c r="Y249" s="52">
        <f>-PMT($B$1,22,NPV($B$1,Y227:Y248))</f>
        <v>3523.7767176890156</v>
      </c>
    </row>
    <row r="250" spans="1:25" x14ac:dyDescent="0.2">
      <c r="A250" s="6" t="str">
        <f t="shared" si="32"/>
        <v>9- Low Economic Growth Loads&amp;Levelized</v>
      </c>
      <c r="B250" s="6" t="str">
        <f>'Scenario List'!$A$11</f>
        <v>9- Low Economic Growth Loads</v>
      </c>
      <c r="C250" s="3" t="s">
        <v>7</v>
      </c>
      <c r="D250" s="16">
        <f t="shared" ref="D250:I250" si="41">-PMT($B$1,COUNT(D225:D248),D249)</f>
        <v>859.30968194277762</v>
      </c>
      <c r="E250" s="16">
        <f t="shared" si="41"/>
        <v>400.26362805508217</v>
      </c>
      <c r="F250" s="16">
        <f t="shared" si="41"/>
        <v>1259.5733099978604</v>
      </c>
      <c r="G250" s="16">
        <f t="shared" si="41"/>
        <v>354.20937450914897</v>
      </c>
      <c r="H250" s="16">
        <f t="shared" si="41"/>
        <v>134.01896006678439</v>
      </c>
      <c r="I250" s="16">
        <f t="shared" si="41"/>
        <v>488.22833457593345</v>
      </c>
      <c r="L250" s="52">
        <f t="shared" ref="L250:Q250" si="42">-PMT($B$1,COUNT(L225:L248),L249)</f>
        <v>12.807396623225545</v>
      </c>
      <c r="M250" s="52">
        <f t="shared" si="42"/>
        <v>9.462566631843945</v>
      </c>
      <c r="N250" s="52">
        <f t="shared" si="42"/>
        <v>21.613232563408271</v>
      </c>
      <c r="O250" s="52">
        <f t="shared" si="42"/>
        <v>16.823865270074251</v>
      </c>
      <c r="P250" s="52">
        <f t="shared" si="42"/>
        <v>1.6201017928123942</v>
      </c>
      <c r="Q250" s="52">
        <f t="shared" si="42"/>
        <v>1.5982283948592637</v>
      </c>
    </row>
    <row r="251" spans="1:25" x14ac:dyDescent="0.2">
      <c r="A251" s="6" t="str">
        <f t="shared" si="32"/>
        <v>&amp;</v>
      </c>
      <c r="C251" s="3"/>
      <c r="D251" s="16"/>
      <c r="E251" s="16"/>
      <c r="F251" s="16"/>
      <c r="G251" s="16"/>
      <c r="H251" s="16"/>
      <c r="I251" s="16"/>
      <c r="L251" s="52"/>
      <c r="M251" s="52"/>
      <c r="N251" s="52"/>
      <c r="O251" s="52"/>
      <c r="P251" s="52"/>
      <c r="Q251" s="52"/>
    </row>
    <row r="252" spans="1:25" x14ac:dyDescent="0.2">
      <c r="A252" s="6" t="str">
        <f t="shared" si="32"/>
        <v>&amp;</v>
      </c>
      <c r="C252" s="3"/>
      <c r="D252" s="16"/>
      <c r="E252" s="16"/>
      <c r="F252" s="16"/>
      <c r="G252" s="16"/>
      <c r="H252" s="16"/>
      <c r="I252" s="16"/>
      <c r="L252" s="52"/>
      <c r="M252" s="52"/>
      <c r="N252" s="52"/>
      <c r="O252" s="52"/>
      <c r="P252" s="52"/>
      <c r="Q252" s="52"/>
    </row>
    <row r="253" spans="1:25" x14ac:dyDescent="0.2">
      <c r="A253" s="6" t="str">
        <f t="shared" si="32"/>
        <v>10- High Economic Growth Loads&amp;2023</v>
      </c>
      <c r="B253" s="6" t="str">
        <f>'Scenario List'!$A$12</f>
        <v>10- High Economic Growth Loads</v>
      </c>
      <c r="C253" s="6">
        <v>2023</v>
      </c>
      <c r="D253" s="8">
        <v>644.35381508278806</v>
      </c>
      <c r="E253" s="8">
        <v>316.40239455462665</v>
      </c>
      <c r="F253" s="8">
        <v>960.75620963741471</v>
      </c>
      <c r="G253" s="8">
        <v>410.77378154877863</v>
      </c>
      <c r="H253" s="8">
        <v>125.83890972954545</v>
      </c>
      <c r="I253" s="8">
        <v>536.61269127832406</v>
      </c>
      <c r="J253" s="12">
        <v>0.11228217775301008</v>
      </c>
      <c r="K253" s="12">
        <v>0.10242299380892764</v>
      </c>
      <c r="L253" s="8">
        <v>16.808400861879495</v>
      </c>
      <c r="M253" s="8">
        <v>9.4395370395143168</v>
      </c>
      <c r="N253" s="8">
        <v>27.712544310744107</v>
      </c>
      <c r="O253" s="8">
        <v>15.74892153057101</v>
      </c>
      <c r="P253" s="15">
        <v>2.5071495936225858</v>
      </c>
      <c r="Q253" s="15">
        <v>2.8792050200375625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5738.700726843661</v>
      </c>
      <c r="Y253" s="8">
        <v>3475.0272683816693</v>
      </c>
    </row>
    <row r="254" spans="1:25" x14ac:dyDescent="0.2">
      <c r="A254" s="6" t="str">
        <f t="shared" si="32"/>
        <v>10- High Economic Growth Loads&amp;2024</v>
      </c>
      <c r="B254" s="6" t="str">
        <f>'Scenario List'!$A$12</f>
        <v>10- High Economic Growth Loads</v>
      </c>
      <c r="C254" s="6">
        <v>2024</v>
      </c>
      <c r="D254" s="8">
        <v>657.51430158967173</v>
      </c>
      <c r="E254" s="8">
        <v>322.02778395916238</v>
      </c>
      <c r="F254" s="8">
        <v>979.54208554883417</v>
      </c>
      <c r="G254" s="8">
        <v>417.64620464787288</v>
      </c>
      <c r="H254" s="8">
        <v>127.06130027247782</v>
      </c>
      <c r="I254" s="8">
        <v>544.70750492035074</v>
      </c>
      <c r="J254" s="12">
        <v>0.11356376331192386</v>
      </c>
      <c r="K254" s="12">
        <v>0.10392305090277133</v>
      </c>
      <c r="L254" s="8">
        <v>13.118296248488964</v>
      </c>
      <c r="M254" s="8">
        <v>7.2914270703604647</v>
      </c>
      <c r="N254" s="8">
        <v>22.189711059222162</v>
      </c>
      <c r="O254" s="8">
        <v>12.611182502166344</v>
      </c>
      <c r="P254" s="15">
        <v>2.4532169660610919</v>
      </c>
      <c r="Q254" s="15">
        <v>2.9672417086309277</v>
      </c>
      <c r="R254" s="8">
        <v>1.0380252670270249E-2</v>
      </c>
      <c r="S254" s="8">
        <v>0</v>
      </c>
      <c r="T254" s="8">
        <v>0.11416142975410304</v>
      </c>
      <c r="U254" s="8">
        <v>0</v>
      </c>
      <c r="V254" s="8">
        <v>0.97729938790768378</v>
      </c>
      <c r="W254" s="8">
        <v>0</v>
      </c>
      <c r="X254" s="8">
        <v>5789.824873834862</v>
      </c>
      <c r="Y254" s="8">
        <v>3486.4740129106776</v>
      </c>
    </row>
    <row r="255" spans="1:25" x14ac:dyDescent="0.2">
      <c r="A255" s="6" t="str">
        <f t="shared" si="32"/>
        <v>10- High Economic Growth Loads&amp;2025</v>
      </c>
      <c r="B255" s="6" t="str">
        <f>'Scenario List'!$A$12</f>
        <v>10- High Economic Growth Loads</v>
      </c>
      <c r="C255" s="6">
        <v>2025</v>
      </c>
      <c r="D255" s="8">
        <v>681.54533740831744</v>
      </c>
      <c r="E255" s="8">
        <v>329.72969721179288</v>
      </c>
      <c r="F255" s="8">
        <v>1011.2750346201103</v>
      </c>
      <c r="G255" s="8">
        <v>413.05736280677246</v>
      </c>
      <c r="H255" s="8">
        <v>127.22365408313765</v>
      </c>
      <c r="I255" s="8">
        <v>540.28101688991012</v>
      </c>
      <c r="J255" s="12">
        <v>0.11700757681994728</v>
      </c>
      <c r="K255" s="12">
        <v>0.10610308495065356</v>
      </c>
      <c r="L255" s="8">
        <v>10.31151427073123</v>
      </c>
      <c r="M255" s="8">
        <v>5.6563937497784096</v>
      </c>
      <c r="N255" s="8">
        <v>17.59989667626084</v>
      </c>
      <c r="O255" s="8">
        <v>9.6018397311251249</v>
      </c>
      <c r="P255" s="15">
        <v>2.2677043449231515</v>
      </c>
      <c r="Q255" s="15">
        <v>2.7196586755011132</v>
      </c>
      <c r="R255" s="8">
        <v>0.45467052776186445</v>
      </c>
      <c r="S255" s="8">
        <v>0</v>
      </c>
      <c r="T255" s="8">
        <v>0.55975988313043923</v>
      </c>
      <c r="U255" s="8">
        <v>0</v>
      </c>
      <c r="V255" s="8">
        <v>1.9714275331630913</v>
      </c>
      <c r="W255" s="8">
        <v>0</v>
      </c>
      <c r="X255" s="8">
        <v>5824.796615154999</v>
      </c>
      <c r="Y255" s="8">
        <v>3498.6912336044452</v>
      </c>
    </row>
    <row r="256" spans="1:25" x14ac:dyDescent="0.2">
      <c r="A256" s="6" t="str">
        <f t="shared" si="32"/>
        <v>10- High Economic Growth Loads&amp;2026</v>
      </c>
      <c r="B256" s="6" t="str">
        <f>'Scenario List'!$A$12</f>
        <v>10- High Economic Growth Loads</v>
      </c>
      <c r="C256" s="6">
        <v>2026</v>
      </c>
      <c r="D256" s="8">
        <v>690.74075561984114</v>
      </c>
      <c r="E256" s="8">
        <v>339.8136852629529</v>
      </c>
      <c r="F256" s="8">
        <v>1030.5544408827941</v>
      </c>
      <c r="G256" s="8">
        <v>311.98756379202348</v>
      </c>
      <c r="H256" s="8">
        <v>129.39951561038868</v>
      </c>
      <c r="I256" s="8">
        <v>441.38707940241216</v>
      </c>
      <c r="J256" s="12">
        <v>0.11922333229492928</v>
      </c>
      <c r="K256" s="12">
        <v>0.11026899263826818</v>
      </c>
      <c r="L256" s="8">
        <v>13.345170296704483</v>
      </c>
      <c r="M256" s="8">
        <v>7.2074019038641683</v>
      </c>
      <c r="N256" s="8">
        <v>23.111092280014077</v>
      </c>
      <c r="O256" s="8">
        <v>12.583249038356996</v>
      </c>
      <c r="P256" s="15">
        <v>1.3576647011272924</v>
      </c>
      <c r="Q256" s="15">
        <v>1.4922093815351607</v>
      </c>
      <c r="R256" s="8">
        <v>1.4307627615686196</v>
      </c>
      <c r="S256" s="8">
        <v>0</v>
      </c>
      <c r="T256" s="8">
        <v>1.5898484353535351</v>
      </c>
      <c r="U256" s="8">
        <v>0</v>
      </c>
      <c r="V256" s="8">
        <v>2.9826833173465208</v>
      </c>
      <c r="W256" s="8">
        <v>0</v>
      </c>
      <c r="X256" s="8">
        <v>5793.6709394358977</v>
      </c>
      <c r="Y256" s="8">
        <v>3474.0383743474008</v>
      </c>
    </row>
    <row r="257" spans="1:25" x14ac:dyDescent="0.2">
      <c r="A257" s="6" t="str">
        <f t="shared" si="32"/>
        <v>10- High Economic Growth Loads&amp;2027</v>
      </c>
      <c r="B257" s="6" t="str">
        <f>'Scenario List'!$A$12</f>
        <v>10- High Economic Growth Loads</v>
      </c>
      <c r="C257" s="6">
        <v>2027</v>
      </c>
      <c r="D257" s="8">
        <v>709.98750363637077</v>
      </c>
      <c r="E257" s="8">
        <v>344.66573200815139</v>
      </c>
      <c r="F257" s="8">
        <v>1054.6532356445223</v>
      </c>
      <c r="G257" s="8">
        <v>309.31072187079303</v>
      </c>
      <c r="H257" s="8">
        <v>125.95570689415351</v>
      </c>
      <c r="I257" s="8">
        <v>435.26642876494657</v>
      </c>
      <c r="J257" s="12">
        <v>0.12202115362477796</v>
      </c>
      <c r="K257" s="12">
        <v>0.11038000486709196</v>
      </c>
      <c r="L257" s="8">
        <v>10.893993820345788</v>
      </c>
      <c r="M257" s="8">
        <v>6.135792983751629</v>
      </c>
      <c r="N257" s="8">
        <v>15.998520731695947</v>
      </c>
      <c r="O257" s="8">
        <v>8.952790694557109</v>
      </c>
      <c r="P257" s="15">
        <v>1.532226550696111</v>
      </c>
      <c r="Q257" s="15">
        <v>1.4329042999731518</v>
      </c>
      <c r="R257" s="8">
        <v>3.1283510222548214</v>
      </c>
      <c r="S257" s="8">
        <v>0</v>
      </c>
      <c r="T257" s="8">
        <v>3.3425752058275893</v>
      </c>
      <c r="U257" s="8">
        <v>0</v>
      </c>
      <c r="V257" s="8">
        <v>4.02662467150137</v>
      </c>
      <c r="W257" s="8">
        <v>0</v>
      </c>
      <c r="X257" s="8">
        <v>5818.5608195413643</v>
      </c>
      <c r="Y257" s="8">
        <v>3513.8146911455324</v>
      </c>
    </row>
    <row r="258" spans="1:25" x14ac:dyDescent="0.2">
      <c r="A258" s="6" t="str">
        <f t="shared" si="32"/>
        <v>10- High Economic Growth Loads&amp;2028</v>
      </c>
      <c r="B258" s="6" t="str">
        <f>'Scenario List'!$A$12</f>
        <v>10- High Economic Growth Loads</v>
      </c>
      <c r="C258" s="6">
        <v>2028</v>
      </c>
      <c r="D258" s="8">
        <v>737.26973073837632</v>
      </c>
      <c r="E258" s="8">
        <v>353.97398255182691</v>
      </c>
      <c r="F258" s="8">
        <v>1091.2437132902032</v>
      </c>
      <c r="G258" s="8">
        <v>315.44727825549586</v>
      </c>
      <c r="H258" s="8">
        <v>126.62445529807337</v>
      </c>
      <c r="I258" s="8">
        <v>442.07173355356923</v>
      </c>
      <c r="J258" s="12">
        <v>0.12555226360564772</v>
      </c>
      <c r="K258" s="12">
        <v>0.11203204574991327</v>
      </c>
      <c r="L258" s="8">
        <v>13.181093436628254</v>
      </c>
      <c r="M258" s="8">
        <v>7.5441146343152106</v>
      </c>
      <c r="N258" s="8">
        <v>25.27399278332291</v>
      </c>
      <c r="O258" s="8">
        <v>14.664580343842786</v>
      </c>
      <c r="P258" s="15">
        <v>1.5730832516720323</v>
      </c>
      <c r="Q258" s="15">
        <v>1.4184150619134281</v>
      </c>
      <c r="R258" s="8">
        <v>3.7086058471468797</v>
      </c>
      <c r="S258" s="8">
        <v>0</v>
      </c>
      <c r="T258" s="8">
        <v>3.9784725504801388</v>
      </c>
      <c r="U258" s="8">
        <v>0</v>
      </c>
      <c r="V258" s="8">
        <v>5.0761963556586513</v>
      </c>
      <c r="W258" s="8">
        <v>0</v>
      </c>
      <c r="X258" s="8">
        <v>5872.2137663252106</v>
      </c>
      <c r="Y258" s="8">
        <v>3549.1312773811883</v>
      </c>
    </row>
    <row r="259" spans="1:25" x14ac:dyDescent="0.2">
      <c r="A259" s="6" t="str">
        <f t="shared" si="32"/>
        <v>10- High Economic Growth Loads&amp;2029</v>
      </c>
      <c r="B259" s="6" t="str">
        <f>'Scenario List'!$A$12</f>
        <v>10- High Economic Growth Loads</v>
      </c>
      <c r="C259" s="6">
        <v>2029</v>
      </c>
      <c r="D259" s="8">
        <v>762.86605430966301</v>
      </c>
      <c r="E259" s="8">
        <v>365.73346554187168</v>
      </c>
      <c r="F259" s="8">
        <v>1128.5995198515348</v>
      </c>
      <c r="G259" s="8">
        <v>317.78208678195847</v>
      </c>
      <c r="H259" s="8">
        <v>129.38521307028262</v>
      </c>
      <c r="I259" s="8">
        <v>447.16729985224106</v>
      </c>
      <c r="J259" s="12">
        <v>0.12881707986844351</v>
      </c>
      <c r="K259" s="12">
        <v>0.11430689452915246</v>
      </c>
      <c r="L259" s="8">
        <v>14.828077748753433</v>
      </c>
      <c r="M259" s="8">
        <v>8.5901349925709631</v>
      </c>
      <c r="N259" s="8">
        <v>24.209776146116326</v>
      </c>
      <c r="O259" s="8">
        <v>13.900019670763101</v>
      </c>
      <c r="P259" s="15">
        <v>1.5569681031719487</v>
      </c>
      <c r="Q259" s="15">
        <v>1.3845054987276737</v>
      </c>
      <c r="R259" s="8">
        <v>3.8710158897574454</v>
      </c>
      <c r="S259" s="8">
        <v>0.30357601251765787</v>
      </c>
      <c r="T259" s="8">
        <v>4.199077653819363</v>
      </c>
      <c r="U259" s="8">
        <v>0.30357601251765792</v>
      </c>
      <c r="V259" s="8">
        <v>6.2330806673246686</v>
      </c>
      <c r="W259" s="8">
        <v>0</v>
      </c>
      <c r="X259" s="8">
        <v>5922.0877781793542</v>
      </c>
      <c r="Y259" s="8">
        <v>3586.9832240075912</v>
      </c>
    </row>
    <row r="260" spans="1:25" x14ac:dyDescent="0.2">
      <c r="A260" s="6" t="str">
        <f t="shared" si="32"/>
        <v>10- High Economic Growth Loads&amp;2030</v>
      </c>
      <c r="B260" s="6" t="str">
        <f>'Scenario List'!$A$12</f>
        <v>10- High Economic Growth Loads</v>
      </c>
      <c r="C260" s="6">
        <v>2030</v>
      </c>
      <c r="D260" s="8">
        <v>789.64980372437742</v>
      </c>
      <c r="E260" s="8">
        <v>378.08795151763439</v>
      </c>
      <c r="F260" s="8">
        <v>1167.7377552420119</v>
      </c>
      <c r="G260" s="8">
        <v>322.91255464396897</v>
      </c>
      <c r="H260" s="8">
        <v>132.6256139493043</v>
      </c>
      <c r="I260" s="8">
        <v>455.53816859327327</v>
      </c>
      <c r="J260" s="12">
        <v>0.13224329435035129</v>
      </c>
      <c r="K260" s="12">
        <v>0.11697764060504585</v>
      </c>
      <c r="L260" s="8">
        <v>12.634785251113454</v>
      </c>
      <c r="M260" s="8">
        <v>9.5549114636531662</v>
      </c>
      <c r="N260" s="8">
        <v>21.581216691890091</v>
      </c>
      <c r="O260" s="8">
        <v>17.628628579374379</v>
      </c>
      <c r="P260" s="15">
        <v>1.4533807680764257</v>
      </c>
      <c r="Q260" s="15">
        <v>1.4482233725931652</v>
      </c>
      <c r="R260" s="8">
        <v>18.108068895488589</v>
      </c>
      <c r="S260" s="8">
        <v>0.89493819097415983</v>
      </c>
      <c r="T260" s="8">
        <v>27.228306236086059</v>
      </c>
      <c r="U260" s="8">
        <v>0.89493819097415983</v>
      </c>
      <c r="V260" s="8">
        <v>666.52484429305514</v>
      </c>
      <c r="W260" s="8">
        <v>0</v>
      </c>
      <c r="X260" s="8">
        <v>5971.189749949539</v>
      </c>
      <c r="Y260" s="8">
        <v>3623.4002720541607</v>
      </c>
    </row>
    <row r="261" spans="1:25" x14ac:dyDescent="0.2">
      <c r="A261" s="6" t="str">
        <f t="shared" ref="A261:A277" si="43">B261&amp;"&amp;"&amp;C261</f>
        <v>10- High Economic Growth Loads&amp;2031</v>
      </c>
      <c r="B261" s="6" t="str">
        <f>'Scenario List'!$A$12</f>
        <v>10- High Economic Growth Loads</v>
      </c>
      <c r="C261" s="6">
        <v>2031</v>
      </c>
      <c r="D261" s="8">
        <v>825.03199450564819</v>
      </c>
      <c r="E261" s="8">
        <v>392.77410150187745</v>
      </c>
      <c r="F261" s="8">
        <v>1217.8060960075256</v>
      </c>
      <c r="G261" s="8">
        <v>324.82102350826727</v>
      </c>
      <c r="H261" s="8">
        <v>137.70486753481248</v>
      </c>
      <c r="I261" s="8">
        <v>462.52589104307975</v>
      </c>
      <c r="J261" s="12">
        <v>0.13678943530146348</v>
      </c>
      <c r="K261" s="12">
        <v>0.12000326876894429</v>
      </c>
      <c r="L261" s="8">
        <v>11.413616699987113</v>
      </c>
      <c r="M261" s="8">
        <v>8.8620457864776814</v>
      </c>
      <c r="N261" s="8">
        <v>21.23793654140718</v>
      </c>
      <c r="O261" s="8">
        <v>14.913574330736452</v>
      </c>
      <c r="P261" s="15">
        <v>1.368200803398065</v>
      </c>
      <c r="Q261" s="15">
        <v>1.3178533229172604</v>
      </c>
      <c r="R261" s="8">
        <v>17.486043163087935</v>
      </c>
      <c r="S261" s="8">
        <v>1.8007836800895023</v>
      </c>
      <c r="T261" s="8">
        <v>26.558553895075129</v>
      </c>
      <c r="U261" s="8">
        <v>1.8007836800895021</v>
      </c>
      <c r="V261" s="8">
        <v>666.28915392607053</v>
      </c>
      <c r="W261" s="8">
        <v>0</v>
      </c>
      <c r="X261" s="8">
        <v>6031.401421370012</v>
      </c>
      <c r="Y261" s="8">
        <v>3664.2584836744445</v>
      </c>
    </row>
    <row r="262" spans="1:25" x14ac:dyDescent="0.2">
      <c r="A262" s="6" t="str">
        <f t="shared" si="43"/>
        <v>10- High Economic Growth Loads&amp;2032</v>
      </c>
      <c r="B262" s="6" t="str">
        <f>'Scenario List'!$A$12</f>
        <v>10- High Economic Growth Loads</v>
      </c>
      <c r="C262" s="6">
        <v>2032</v>
      </c>
      <c r="D262" s="8">
        <v>860.2742170289539</v>
      </c>
      <c r="E262" s="8">
        <v>405.67152901697182</v>
      </c>
      <c r="F262" s="8">
        <v>1265.9457460459257</v>
      </c>
      <c r="G262" s="8">
        <v>331.68475650814321</v>
      </c>
      <c r="H262" s="8">
        <v>140.64759710361153</v>
      </c>
      <c r="I262" s="8">
        <v>472.33235361175474</v>
      </c>
      <c r="J262" s="12">
        <v>0.14111362646020581</v>
      </c>
      <c r="K262" s="12">
        <v>0.12240897042007368</v>
      </c>
      <c r="L262" s="8">
        <v>9.4328344433032143</v>
      </c>
      <c r="M262" s="8">
        <v>9.7778785879657892</v>
      </c>
      <c r="N262" s="8">
        <v>16.808503436750399</v>
      </c>
      <c r="O262" s="8">
        <v>19.697574036004042</v>
      </c>
      <c r="P262" s="15">
        <v>1.2287966271444959</v>
      </c>
      <c r="Q262" s="15">
        <v>1.2400831169937785</v>
      </c>
      <c r="R262" s="8">
        <v>67.066083672641923</v>
      </c>
      <c r="S262" s="8">
        <v>2.2525693814724308</v>
      </c>
      <c r="T262" s="8">
        <v>65.063076951738935</v>
      </c>
      <c r="U262" s="8">
        <v>2.2525693814724308</v>
      </c>
      <c r="V262" s="8">
        <v>1495.3176969779863</v>
      </c>
      <c r="W262" s="8">
        <v>-8.9160925746502209E-2</v>
      </c>
      <c r="X262" s="8">
        <v>6096.3227904255737</v>
      </c>
      <c r="Y262" s="8">
        <v>3706.0098438611572</v>
      </c>
    </row>
    <row r="263" spans="1:25" x14ac:dyDescent="0.2">
      <c r="A263" s="6" t="str">
        <f t="shared" si="43"/>
        <v>10- High Economic Growth Loads&amp;2033</v>
      </c>
      <c r="B263" s="6" t="str">
        <f>'Scenario List'!$A$12</f>
        <v>10- High Economic Growth Loads</v>
      </c>
      <c r="C263" s="6">
        <v>2033</v>
      </c>
      <c r="D263" s="8">
        <v>887.2802770673585</v>
      </c>
      <c r="E263" s="8">
        <v>418.22819534194628</v>
      </c>
      <c r="F263" s="8">
        <v>1305.5084724093049</v>
      </c>
      <c r="G263" s="8">
        <v>332.83696849787952</v>
      </c>
      <c r="H263" s="8">
        <v>142.78527453225314</v>
      </c>
      <c r="I263" s="8">
        <v>475.62224303013267</v>
      </c>
      <c r="J263" s="12">
        <v>0.14412636468100273</v>
      </c>
      <c r="K263" s="12">
        <v>0.12448067746406266</v>
      </c>
      <c r="L263" s="8">
        <v>9.7573872408572324</v>
      </c>
      <c r="M263" s="8">
        <v>9.7970881913505874</v>
      </c>
      <c r="N263" s="8">
        <v>16.016162885558117</v>
      </c>
      <c r="O263" s="8">
        <v>17.419579352509174</v>
      </c>
      <c r="P263" s="15">
        <v>1.2181920206114047</v>
      </c>
      <c r="Q263" s="15">
        <v>1.2150390521601691</v>
      </c>
      <c r="R263" s="8">
        <v>69.38022126516961</v>
      </c>
      <c r="S263" s="8">
        <v>4.1392373967731686</v>
      </c>
      <c r="T263" s="8">
        <v>67.294609259564211</v>
      </c>
      <c r="U263" s="8">
        <v>4.0400789086517417</v>
      </c>
      <c r="V263" s="8">
        <v>1495.2733245312438</v>
      </c>
      <c r="W263" s="8">
        <v>2.6343418645312355</v>
      </c>
      <c r="X263" s="8">
        <v>6156.2662669747524</v>
      </c>
      <c r="Y263" s="8">
        <v>3750.194340654647</v>
      </c>
    </row>
    <row r="264" spans="1:25" x14ac:dyDescent="0.2">
      <c r="A264" s="6" t="str">
        <f t="shared" si="43"/>
        <v>10- High Economic Growth Loads&amp;2034</v>
      </c>
      <c r="B264" s="6" t="str">
        <f>'Scenario List'!$A$12</f>
        <v>10- High Economic Growth Loads</v>
      </c>
      <c r="C264" s="6">
        <v>2034</v>
      </c>
      <c r="D264" s="8">
        <v>900.92466684668261</v>
      </c>
      <c r="E264" s="8">
        <v>431.73259978630642</v>
      </c>
      <c r="F264" s="8">
        <v>1332.6572666329889</v>
      </c>
      <c r="G264" s="8">
        <v>319.81423560208759</v>
      </c>
      <c r="H264" s="8">
        <v>145.4890944676639</v>
      </c>
      <c r="I264" s="8">
        <v>465.3033300697515</v>
      </c>
      <c r="J264" s="12">
        <v>0.14482121284802849</v>
      </c>
      <c r="K264" s="12">
        <v>0.12674830549735297</v>
      </c>
      <c r="L264" s="8">
        <v>10.237952152034424</v>
      </c>
      <c r="M264" s="8">
        <v>11.512313227069109</v>
      </c>
      <c r="N264" s="8">
        <v>18.446709200499555</v>
      </c>
      <c r="O264" s="8">
        <v>21.295400860325444</v>
      </c>
      <c r="P264" s="15">
        <v>1.3235044985489217</v>
      </c>
      <c r="Q264" s="15">
        <v>1.3024259436181438</v>
      </c>
      <c r="R264" s="8">
        <v>68.431605873189426</v>
      </c>
      <c r="S264" s="8">
        <v>99.905868530945639</v>
      </c>
      <c r="T264" s="8">
        <v>66.382218136765417</v>
      </c>
      <c r="U264" s="8">
        <v>94.364160553331146</v>
      </c>
      <c r="V264" s="8">
        <v>1492.8208724539077</v>
      </c>
      <c r="W264" s="8">
        <v>215.91504662315376</v>
      </c>
      <c r="X264" s="8">
        <v>6220.9440808377212</v>
      </c>
      <c r="Y264" s="8">
        <v>3795.6905795556927</v>
      </c>
    </row>
    <row r="265" spans="1:25" x14ac:dyDescent="0.2">
      <c r="A265" s="6" t="str">
        <f t="shared" si="43"/>
        <v>10- High Economic Growth Loads&amp;2035</v>
      </c>
      <c r="B265" s="6" t="str">
        <f>'Scenario List'!$A$12</f>
        <v>10- High Economic Growth Loads</v>
      </c>
      <c r="C265" s="6">
        <v>2035</v>
      </c>
      <c r="D265" s="8">
        <v>934.47783885632043</v>
      </c>
      <c r="E265" s="8">
        <v>448.28231208986142</v>
      </c>
      <c r="F265" s="8">
        <v>1382.760150946182</v>
      </c>
      <c r="G265" s="8">
        <v>328.73289443088487</v>
      </c>
      <c r="H265" s="8">
        <v>150.93445271577178</v>
      </c>
      <c r="I265" s="8">
        <v>479.66734714665665</v>
      </c>
      <c r="J265" s="12">
        <v>0.14862653615938007</v>
      </c>
      <c r="K265" s="12">
        <v>0.1298818000947112</v>
      </c>
      <c r="L265" s="8">
        <v>11.401608092798739</v>
      </c>
      <c r="M265" s="8">
        <v>12.475904209327066</v>
      </c>
      <c r="N265" s="8">
        <v>19.975723939390392</v>
      </c>
      <c r="O265" s="8">
        <v>23.563847286297388</v>
      </c>
      <c r="P265" s="15">
        <v>1.3421944079200601</v>
      </c>
      <c r="Q265" s="15">
        <v>1.3087549775910614</v>
      </c>
      <c r="R265" s="8">
        <v>67.592945757602735</v>
      </c>
      <c r="S265" s="8">
        <v>99.822506984966239</v>
      </c>
      <c r="T265" s="8">
        <v>65.585841468250834</v>
      </c>
      <c r="U265" s="8">
        <v>94.28079900735176</v>
      </c>
      <c r="V265" s="8">
        <v>1503.7878917013165</v>
      </c>
      <c r="W265" s="8">
        <v>219.57339312318194</v>
      </c>
      <c r="X265" s="8">
        <v>6287.4225761019588</v>
      </c>
      <c r="Y265" s="8">
        <v>3842.7962165302561</v>
      </c>
    </row>
    <row r="266" spans="1:25" x14ac:dyDescent="0.2">
      <c r="A266" s="6" t="str">
        <f t="shared" si="43"/>
        <v>10- High Economic Growth Loads&amp;2036</v>
      </c>
      <c r="B266" s="6" t="str">
        <f>'Scenario List'!$A$12</f>
        <v>10- High Economic Growth Loads</v>
      </c>
      <c r="C266" s="6">
        <v>2036</v>
      </c>
      <c r="D266" s="8">
        <v>982.06659679602717</v>
      </c>
      <c r="E266" s="8">
        <v>463.38739026021574</v>
      </c>
      <c r="F266" s="8">
        <v>1445.453987056243</v>
      </c>
      <c r="G266" s="8">
        <v>347.93978126409013</v>
      </c>
      <c r="H266" s="8">
        <v>154.47400186840633</v>
      </c>
      <c r="I266" s="8">
        <v>502.41378313249646</v>
      </c>
      <c r="J266" s="12">
        <v>0.15443094002894042</v>
      </c>
      <c r="K266" s="12">
        <v>0.13242667624935017</v>
      </c>
      <c r="L266" s="8">
        <v>12.041742813736194</v>
      </c>
      <c r="M266" s="8">
        <v>12.775272795086611</v>
      </c>
      <c r="N266" s="8">
        <v>21.487002552519527</v>
      </c>
      <c r="O266" s="8">
        <v>23.046770579507253</v>
      </c>
      <c r="P266" s="15">
        <v>1.3476685919725657</v>
      </c>
      <c r="Q266" s="15">
        <v>1.2873282703258075</v>
      </c>
      <c r="R266" s="8">
        <v>157.96074690972625</v>
      </c>
      <c r="S266" s="8">
        <v>99.654177831970671</v>
      </c>
      <c r="T266" s="8">
        <v>150.82670290545025</v>
      </c>
      <c r="U266" s="8">
        <v>94.127611132983532</v>
      </c>
      <c r="V266" s="8">
        <v>1509.5151399176459</v>
      </c>
      <c r="W266" s="8">
        <v>226.03386606517159</v>
      </c>
      <c r="X266" s="8">
        <v>6359.2606288091456</v>
      </c>
      <c r="Y266" s="8">
        <v>3891.4143049025283</v>
      </c>
    </row>
    <row r="267" spans="1:25" x14ac:dyDescent="0.2">
      <c r="A267" s="6" t="str">
        <f t="shared" si="43"/>
        <v>10- High Economic Growth Loads&amp;2037</v>
      </c>
      <c r="B267" s="6" t="str">
        <f>'Scenario List'!$A$12</f>
        <v>10- High Economic Growth Loads</v>
      </c>
      <c r="C267" s="6">
        <v>2037</v>
      </c>
      <c r="D267" s="8">
        <v>1016.8317463730814</v>
      </c>
      <c r="E267" s="8">
        <v>480.48639184481385</v>
      </c>
      <c r="F267" s="8">
        <v>1497.3181382178952</v>
      </c>
      <c r="G267" s="8">
        <v>355.17547921309762</v>
      </c>
      <c r="H267" s="8">
        <v>159.50027075356695</v>
      </c>
      <c r="I267" s="8">
        <v>514.67574996666463</v>
      </c>
      <c r="J267" s="12">
        <v>0.15821348323986051</v>
      </c>
      <c r="K267" s="12">
        <v>0.13531657631240832</v>
      </c>
      <c r="L267" s="8">
        <v>13.328885692781165</v>
      </c>
      <c r="M267" s="8">
        <v>14.0109430295417</v>
      </c>
      <c r="N267" s="8">
        <v>23.350794809942045</v>
      </c>
      <c r="O267" s="8">
        <v>25.630307015123577</v>
      </c>
      <c r="P267" s="15">
        <v>1.3544806057977252</v>
      </c>
      <c r="Q267" s="15">
        <v>1.2560162736028229</v>
      </c>
      <c r="R267" s="8">
        <v>157.10802912776353</v>
      </c>
      <c r="S267" s="8">
        <v>99.548327101046539</v>
      </c>
      <c r="T267" s="8">
        <v>150.00686260504082</v>
      </c>
      <c r="U267" s="8">
        <v>94.006619123432046</v>
      </c>
      <c r="V267" s="8">
        <v>1511.9282601115715</v>
      </c>
      <c r="W267" s="8">
        <v>217.22876421622632</v>
      </c>
      <c r="X267" s="8">
        <v>6426.9601145909128</v>
      </c>
      <c r="Y267" s="8">
        <v>3942.5436645534332</v>
      </c>
    </row>
    <row r="268" spans="1:25" x14ac:dyDescent="0.2">
      <c r="A268" s="6" t="str">
        <f t="shared" si="43"/>
        <v>10- High Economic Growth Loads&amp;2038</v>
      </c>
      <c r="B268" s="6" t="str">
        <f>'Scenario List'!$A$12</f>
        <v>10- High Economic Growth Loads</v>
      </c>
      <c r="C268" s="6">
        <v>2038</v>
      </c>
      <c r="D268" s="8">
        <v>1063.368219166211</v>
      </c>
      <c r="E268" s="8">
        <v>502.81666534353133</v>
      </c>
      <c r="F268" s="8">
        <v>1566.1848845097425</v>
      </c>
      <c r="G268" s="8">
        <v>370.22476625393341</v>
      </c>
      <c r="H268" s="8">
        <v>169.30287461847371</v>
      </c>
      <c r="I268" s="8">
        <v>539.52764087240712</v>
      </c>
      <c r="J268" s="12">
        <v>0.16357985704248634</v>
      </c>
      <c r="K268" s="12">
        <v>0.13950064407922108</v>
      </c>
      <c r="L268" s="8">
        <v>15.456022159331338</v>
      </c>
      <c r="M268" s="8">
        <v>16.100366195527688</v>
      </c>
      <c r="N268" s="8">
        <v>27.046215707093666</v>
      </c>
      <c r="O268" s="8">
        <v>29.413625464960916</v>
      </c>
      <c r="P268" s="15">
        <v>1.4219780055330458</v>
      </c>
      <c r="Q268" s="15">
        <v>1.2062234665680263</v>
      </c>
      <c r="R268" s="8">
        <v>207.56398820373892</v>
      </c>
      <c r="S268" s="8">
        <v>127.78884197899454</v>
      </c>
      <c r="T268" s="8">
        <v>200.50050327456165</v>
      </c>
      <c r="U268" s="8">
        <v>122.24713400138006</v>
      </c>
      <c r="V268" s="8">
        <v>1254.6606306579163</v>
      </c>
      <c r="W268" s="8">
        <v>77.868061172747105</v>
      </c>
      <c r="X268" s="8">
        <v>6500.6061161309372</v>
      </c>
      <c r="Y268" s="8">
        <v>3995.5747756563696</v>
      </c>
    </row>
    <row r="269" spans="1:25" x14ac:dyDescent="0.2">
      <c r="A269" s="6" t="str">
        <f t="shared" si="43"/>
        <v>10- High Economic Growth Loads&amp;2039</v>
      </c>
      <c r="B269" s="6" t="str">
        <f>'Scenario List'!$A$12</f>
        <v>10- High Economic Growth Loads</v>
      </c>
      <c r="C269" s="6">
        <v>2039</v>
      </c>
      <c r="D269" s="8">
        <v>1109.8805479591203</v>
      </c>
      <c r="E269" s="8">
        <v>525.58974790006209</v>
      </c>
      <c r="F269" s="8">
        <v>1635.4702958591824</v>
      </c>
      <c r="G269" s="8">
        <v>387.25417279894737</v>
      </c>
      <c r="H269" s="8">
        <v>179.12781528373802</v>
      </c>
      <c r="I269" s="8">
        <v>566.38198808268544</v>
      </c>
      <c r="J269" s="12">
        <v>0.16873984039429912</v>
      </c>
      <c r="K269" s="12">
        <v>0.14364668512604664</v>
      </c>
      <c r="L269" s="8">
        <v>14.874495782322665</v>
      </c>
      <c r="M269" s="8">
        <v>16.087905102991066</v>
      </c>
      <c r="N269" s="8">
        <v>28.064826934169417</v>
      </c>
      <c r="O269" s="8">
        <v>28.73071824069271</v>
      </c>
      <c r="P269" s="15">
        <v>1.4576515996396968</v>
      </c>
      <c r="Q269" s="15">
        <v>1.1921396354548104</v>
      </c>
      <c r="R269" s="8">
        <v>206.76490472865748</v>
      </c>
      <c r="S269" s="8">
        <v>127.69571054841008</v>
      </c>
      <c r="T269" s="8">
        <v>199.73851972167395</v>
      </c>
      <c r="U269" s="8">
        <v>122.1540025707956</v>
      </c>
      <c r="V269" s="8">
        <v>1250.0494817295084</v>
      </c>
      <c r="W269" s="8">
        <v>72.963916050920531</v>
      </c>
      <c r="X269" s="8">
        <v>6577.4659106327899</v>
      </c>
      <c r="Y269" s="8">
        <v>4050.6485622262903</v>
      </c>
    </row>
    <row r="270" spans="1:25" x14ac:dyDescent="0.2">
      <c r="A270" s="6" t="str">
        <f t="shared" si="43"/>
        <v>10- High Economic Growth Loads&amp;2040</v>
      </c>
      <c r="B270" s="6" t="str">
        <f>'Scenario List'!$A$12</f>
        <v>10- High Economic Growth Loads</v>
      </c>
      <c r="C270" s="6">
        <v>2040</v>
      </c>
      <c r="D270" s="8">
        <v>1149.8523490116143</v>
      </c>
      <c r="E270" s="8">
        <v>542.81402011192415</v>
      </c>
      <c r="F270" s="8">
        <v>1692.6663691235385</v>
      </c>
      <c r="G270" s="8">
        <v>396.99361010423138</v>
      </c>
      <c r="H270" s="8">
        <v>183.08486031506752</v>
      </c>
      <c r="I270" s="8">
        <v>580.07847041929892</v>
      </c>
      <c r="J270" s="12">
        <v>0.17261178206917591</v>
      </c>
      <c r="K270" s="12">
        <v>0.14610760617564814</v>
      </c>
      <c r="L270" s="8">
        <v>16.818431954904487</v>
      </c>
      <c r="M270" s="8">
        <v>17.850010553099075</v>
      </c>
      <c r="N270" s="8">
        <v>32.128537489321744</v>
      </c>
      <c r="O270" s="8">
        <v>34.154392396528877</v>
      </c>
      <c r="P270" s="15">
        <v>1.4037570799714998</v>
      </c>
      <c r="Q270" s="15">
        <v>1.1774567244663261</v>
      </c>
      <c r="R270" s="8">
        <v>237.53315174477783</v>
      </c>
      <c r="S270" s="8">
        <v>145.05237781600829</v>
      </c>
      <c r="T270" s="8">
        <v>230.55346120012609</v>
      </c>
      <c r="U270" s="8">
        <v>139.52581111702116</v>
      </c>
      <c r="V270" s="8">
        <v>1081.1324457272788</v>
      </c>
      <c r="W270" s="8">
        <v>-16.41263854738385</v>
      </c>
      <c r="X270" s="8">
        <v>6661.4939908957049</v>
      </c>
      <c r="Y270" s="8">
        <v>4108.2339904688597</v>
      </c>
    </row>
    <row r="271" spans="1:25" x14ac:dyDescent="0.2">
      <c r="A271" s="6" t="str">
        <f t="shared" si="43"/>
        <v>10- High Economic Growth Loads&amp;2041</v>
      </c>
      <c r="B271" s="6" t="str">
        <f>'Scenario List'!$A$12</f>
        <v>10- High Economic Growth Loads</v>
      </c>
      <c r="C271" s="6">
        <v>2041</v>
      </c>
      <c r="D271" s="8">
        <v>1195.30900072911</v>
      </c>
      <c r="E271" s="8">
        <v>554.19535728360859</v>
      </c>
      <c r="F271" s="8">
        <v>1749.5043580127185</v>
      </c>
      <c r="G271" s="8">
        <v>406.25916132089338</v>
      </c>
      <c r="H271" s="8">
        <v>180.64974040568214</v>
      </c>
      <c r="I271" s="8">
        <v>586.90890172657555</v>
      </c>
      <c r="J271" s="12">
        <v>0.17726444785777778</v>
      </c>
      <c r="K271" s="12">
        <v>0.14673044522561773</v>
      </c>
      <c r="L271" s="8">
        <v>15.247153751993551</v>
      </c>
      <c r="M271" s="8">
        <v>18.135055380587993</v>
      </c>
      <c r="N271" s="8">
        <v>26.107448093007974</v>
      </c>
      <c r="O271" s="8">
        <v>32.415472488031995</v>
      </c>
      <c r="P271" s="15">
        <v>1.3712700816178647</v>
      </c>
      <c r="Q271" s="15">
        <v>1.246138252432657</v>
      </c>
      <c r="R271" s="8">
        <v>310.85201779870528</v>
      </c>
      <c r="S271" s="8">
        <v>233.59130038608848</v>
      </c>
      <c r="T271" s="8">
        <v>305.25740240295096</v>
      </c>
      <c r="U271" s="8">
        <v>223.02217350019393</v>
      </c>
      <c r="V271" s="8">
        <v>1191.6982304340404</v>
      </c>
      <c r="W271" s="8">
        <v>182.57158897528817</v>
      </c>
      <c r="X271" s="8">
        <v>6743.0836536840507</v>
      </c>
      <c r="Y271" s="8">
        <v>4168.9003913717979</v>
      </c>
    </row>
    <row r="272" spans="1:25" x14ac:dyDescent="0.2">
      <c r="A272" s="6" t="str">
        <f t="shared" si="43"/>
        <v>10- High Economic Growth Loads&amp;2042</v>
      </c>
      <c r="B272" s="6" t="str">
        <f>'Scenario List'!$A$12</f>
        <v>10- High Economic Growth Loads</v>
      </c>
      <c r="C272" s="6">
        <v>2042</v>
      </c>
      <c r="D272" s="8">
        <v>1296.6551804957367</v>
      </c>
      <c r="E272" s="8">
        <v>591.58937121127974</v>
      </c>
      <c r="F272" s="8">
        <v>1888.2445517070164</v>
      </c>
      <c r="G272" s="8">
        <v>428.49883367921854</v>
      </c>
      <c r="H272" s="8">
        <v>203.381109348058</v>
      </c>
      <c r="I272" s="8">
        <v>631.87994302727657</v>
      </c>
      <c r="J272" s="12">
        <v>0.18976323414758225</v>
      </c>
      <c r="K272" s="12">
        <v>0.15402145434203057</v>
      </c>
      <c r="L272" s="8">
        <v>18.101219950305541</v>
      </c>
      <c r="M272" s="8">
        <v>24.226428973635159</v>
      </c>
      <c r="N272" s="8">
        <v>31.822528094570345</v>
      </c>
      <c r="O272" s="8">
        <v>46.722956321692436</v>
      </c>
      <c r="P272" s="15">
        <v>1.0334783627023212</v>
      </c>
      <c r="Q272" s="15">
        <v>0.99229777736425373</v>
      </c>
      <c r="R272" s="8">
        <v>533.58754272122542</v>
      </c>
      <c r="S272" s="8">
        <v>325.40082970315154</v>
      </c>
      <c r="T272" s="8">
        <v>517.83830088473587</v>
      </c>
      <c r="U272" s="8">
        <v>309.61903553128462</v>
      </c>
      <c r="V272" s="8">
        <v>1522.0225485504516</v>
      </c>
      <c r="W272" s="8">
        <v>403.1015630640332</v>
      </c>
      <c r="X272" s="8">
        <v>6833.0158174228036</v>
      </c>
      <c r="Y272" s="8">
        <v>4232.5231466499381</v>
      </c>
    </row>
    <row r="273" spans="1:26" x14ac:dyDescent="0.2">
      <c r="A273" s="6" t="str">
        <f t="shared" si="43"/>
        <v>10- High Economic Growth Loads&amp;2043</v>
      </c>
      <c r="B273" s="6" t="str">
        <f>'Scenario List'!$A$12</f>
        <v>10- High Economic Growth Loads</v>
      </c>
      <c r="C273" s="6">
        <v>2043</v>
      </c>
      <c r="D273" s="8">
        <v>1359.8240716882826</v>
      </c>
      <c r="E273" s="8">
        <v>620.45095168491025</v>
      </c>
      <c r="F273" s="8">
        <v>1980.2750233731929</v>
      </c>
      <c r="G273" s="8">
        <v>459.05563516366192</v>
      </c>
      <c r="H273" s="8">
        <v>217.12897800139388</v>
      </c>
      <c r="I273" s="8">
        <v>676.18461316505579</v>
      </c>
      <c r="J273" s="12">
        <v>0.19626228463463305</v>
      </c>
      <c r="K273" s="12">
        <v>0.15877435072401153</v>
      </c>
      <c r="L273" s="8">
        <v>19.774082750551784</v>
      </c>
      <c r="M273" s="8">
        <v>24.351061851894517</v>
      </c>
      <c r="N273" s="8">
        <v>35.238239645544297</v>
      </c>
      <c r="O273" s="8">
        <v>47.04636367466405</v>
      </c>
      <c r="P273" s="15">
        <v>1.2521011844036132</v>
      </c>
      <c r="Q273" s="15">
        <v>0.99814772249968164</v>
      </c>
      <c r="R273" s="8">
        <v>570.96686115898808</v>
      </c>
      <c r="S273" s="8">
        <v>346.6113216120487</v>
      </c>
      <c r="T273" s="8">
        <v>555.21271694124619</v>
      </c>
      <c r="U273" s="8">
        <v>330.82952744018172</v>
      </c>
      <c r="V273" s="8">
        <v>1365.0608396587897</v>
      </c>
      <c r="W273" s="8">
        <v>302.55426162582575</v>
      </c>
      <c r="X273" s="8">
        <v>6928.6061467172176</v>
      </c>
      <c r="Y273" s="8">
        <v>4299.3763509513938</v>
      </c>
    </row>
    <row r="274" spans="1:26" x14ac:dyDescent="0.2">
      <c r="A274" s="6" t="str">
        <f t="shared" si="43"/>
        <v>10- High Economic Growth Loads&amp;2044</v>
      </c>
      <c r="B274" s="6" t="str">
        <f>'Scenario List'!$A$12</f>
        <v>10- High Economic Growth Loads</v>
      </c>
      <c r="C274" s="6">
        <v>2044</v>
      </c>
      <c r="D274" s="8">
        <v>1439.1665146569085</v>
      </c>
      <c r="E274" s="8">
        <v>650.34938360807155</v>
      </c>
      <c r="F274" s="8">
        <v>2089.51589826498</v>
      </c>
      <c r="G274" s="8">
        <v>508.42030240072512</v>
      </c>
      <c r="H274" s="8">
        <v>231.37619894989777</v>
      </c>
      <c r="I274" s="8">
        <v>739.79650135062286</v>
      </c>
      <c r="J274" s="12">
        <v>0.20459297758204878</v>
      </c>
      <c r="K274" s="12">
        <v>0.16349617523532761</v>
      </c>
      <c r="L274" s="8">
        <v>19.793404177474919</v>
      </c>
      <c r="M274" s="8">
        <v>29.364042044569768</v>
      </c>
      <c r="N274" s="8">
        <v>35.915285268774525</v>
      </c>
      <c r="O274" s="8">
        <v>51.856630523524643</v>
      </c>
      <c r="P274" s="15">
        <v>1.2988169019537015</v>
      </c>
      <c r="Q274" s="15">
        <v>1.1047845322160077</v>
      </c>
      <c r="R274" s="8">
        <v>613.74270418006029</v>
      </c>
      <c r="S274" s="8">
        <v>363.98801201484406</v>
      </c>
      <c r="T274" s="8">
        <v>605.379751935071</v>
      </c>
      <c r="U274" s="8">
        <v>348.24933749918443</v>
      </c>
      <c r="V274" s="8">
        <v>1925.5615978677897</v>
      </c>
      <c r="W274" s="8">
        <v>320.19956412738867</v>
      </c>
      <c r="X274" s="8">
        <v>7034.2908718836816</v>
      </c>
      <c r="Y274" s="8">
        <v>4370.7550737050569</v>
      </c>
    </row>
    <row r="275" spans="1:26" x14ac:dyDescent="0.2">
      <c r="A275" s="6" t="str">
        <f t="shared" si="43"/>
        <v>10- High Economic Growth Loads&amp;2045</v>
      </c>
      <c r="B275" s="6" t="str">
        <f>'Scenario List'!$A$12</f>
        <v>10- High Economic Growth Loads</v>
      </c>
      <c r="C275" s="6">
        <v>2045</v>
      </c>
      <c r="D275" s="8">
        <v>1665.0407784302124</v>
      </c>
      <c r="E275" s="8">
        <v>712.00573299720634</v>
      </c>
      <c r="F275" s="8">
        <v>2377.0465114274189</v>
      </c>
      <c r="G275" s="8">
        <v>606.03103684933001</v>
      </c>
      <c r="H275" s="8">
        <v>276.59229186385488</v>
      </c>
      <c r="I275" s="8">
        <v>882.62332871318495</v>
      </c>
      <c r="J275" s="12">
        <v>0.23317707226319012</v>
      </c>
      <c r="K275" s="12">
        <v>0.17558613906550938</v>
      </c>
      <c r="L275" s="8">
        <v>21.464638041753364</v>
      </c>
      <c r="M275" s="8">
        <v>27.072185667707586</v>
      </c>
      <c r="N275" s="8">
        <v>37.814493628537306</v>
      </c>
      <c r="O275" s="8">
        <v>50.3181394766831</v>
      </c>
      <c r="P275" s="15">
        <v>0.81038254064463111</v>
      </c>
      <c r="Q275" s="15">
        <v>0.63045428592155606</v>
      </c>
      <c r="R275" s="8">
        <v>968.09166469482409</v>
      </c>
      <c r="S275" s="8">
        <v>434.23874262939285</v>
      </c>
      <c r="T275" s="8">
        <v>948.45732924379809</v>
      </c>
      <c r="U275" s="8">
        <v>418.55610694564734</v>
      </c>
      <c r="V275" s="8">
        <v>2930.0680933747199</v>
      </c>
      <c r="W275" s="8">
        <v>459.49696298616709</v>
      </c>
      <c r="X275" s="8">
        <v>7140.6710885830935</v>
      </c>
      <c r="Y275" s="8">
        <v>4446.8127877808238</v>
      </c>
    </row>
    <row r="276" spans="1:26" x14ac:dyDescent="0.2">
      <c r="A276" s="6" t="str">
        <f t="shared" si="43"/>
        <v>10- High Economic Growth Loads&amp;NPV</v>
      </c>
      <c r="B276" s="6" t="str">
        <f>'Scenario List'!$A$12</f>
        <v>10- High Economic Growth Loads</v>
      </c>
      <c r="C276" s="3" t="s">
        <v>6</v>
      </c>
      <c r="D276" s="16">
        <f t="shared" ref="D276:E276" si="44">NPV($B$1,D252:D275)</f>
        <v>10256.12181100917</v>
      </c>
      <c r="E276" s="16">
        <f t="shared" si="44"/>
        <v>4867.7208532275999</v>
      </c>
      <c r="F276" s="16">
        <f>NPV($B$1,F252:F275)</f>
        <v>15123.84266423677</v>
      </c>
      <c r="G276" s="16">
        <f t="shared" ref="G276:I276" si="45">NPV($B$1,G252:G275)</f>
        <v>4312.9071537679956</v>
      </c>
      <c r="H276" s="16">
        <f t="shared" si="45"/>
        <v>1737.0525530235843</v>
      </c>
      <c r="I276" s="16">
        <f t="shared" si="45"/>
        <v>6049.9597067915811</v>
      </c>
      <c r="L276" s="52">
        <f t="shared" ref="L276:Q276" si="46">NPV($B$1,L252:L275)</f>
        <v>157.82631833096229</v>
      </c>
      <c r="M276" s="52">
        <f t="shared" si="46"/>
        <v>132.8521765516648</v>
      </c>
      <c r="N276" s="52">
        <f t="shared" si="46"/>
        <v>273.96433925915136</v>
      </c>
      <c r="O276" s="52">
        <f t="shared" si="46"/>
        <v>239.08414622822585</v>
      </c>
      <c r="P276" s="52">
        <f t="shared" si="46"/>
        <v>18.878058565317062</v>
      </c>
      <c r="Q276" s="52">
        <f t="shared" si="46"/>
        <v>19.304902179594027</v>
      </c>
      <c r="X276" s="52">
        <f>-PMT($B$1,22,NPV($B$1,X254:X275))</f>
        <v>6160.7325394257523</v>
      </c>
      <c r="Y276" s="52">
        <f>-PMT($B$1,22,NPV($B$1,Y254:Y275))</f>
        <v>3751.1856492689462</v>
      </c>
    </row>
    <row r="277" spans="1:26" x14ac:dyDescent="0.2">
      <c r="A277" s="6" t="str">
        <f t="shared" si="43"/>
        <v>10- High Economic Growth Loads&amp;Levelized</v>
      </c>
      <c r="B277" s="6" t="str">
        <f>'Scenario List'!$A$12</f>
        <v>10- High Economic Growth Loads</v>
      </c>
      <c r="C277" s="3" t="s">
        <v>7</v>
      </c>
      <c r="D277" s="16">
        <f t="shared" ref="D277:I277" si="47">-PMT($B$1,COUNT(D252:D275),D276)</f>
        <v>872.13093444671438</v>
      </c>
      <c r="E277" s="16">
        <f t="shared" si="47"/>
        <v>413.92740985136766</v>
      </c>
      <c r="F277" s="16">
        <f t="shared" si="47"/>
        <v>1286.0583442980819</v>
      </c>
      <c r="G277" s="16">
        <f t="shared" si="47"/>
        <v>366.7487394855238</v>
      </c>
      <c r="H277" s="16">
        <f t="shared" si="47"/>
        <v>147.71053758598489</v>
      </c>
      <c r="I277" s="16">
        <f t="shared" si="47"/>
        <v>514.45927707150884</v>
      </c>
      <c r="L277" s="52">
        <f t="shared" ref="L277:Q277" si="48">-PMT($B$1,COUNT(L252:L275),L276)</f>
        <v>13.420785850896879</v>
      </c>
      <c r="M277" s="52">
        <f t="shared" si="48"/>
        <v>11.297105769055076</v>
      </c>
      <c r="N277" s="52">
        <f t="shared" si="48"/>
        <v>23.296600762549843</v>
      </c>
      <c r="O277" s="52">
        <f t="shared" si="48"/>
        <v>20.330558051445422</v>
      </c>
      <c r="P277" s="52">
        <f t="shared" si="48"/>
        <v>1.6052986850679525</v>
      </c>
      <c r="Q277" s="52">
        <f t="shared" si="48"/>
        <v>1.6415953990736682</v>
      </c>
    </row>
    <row r="278" spans="1:26" ht="15" x14ac:dyDescent="0.25">
      <c r="C278" s="2"/>
      <c r="D278" s="53"/>
      <c r="E278" s="53"/>
      <c r="F278" s="53"/>
      <c r="G278" s="53"/>
      <c r="H278" s="53"/>
      <c r="I278" s="53"/>
      <c r="J278" s="54"/>
      <c r="K278" s="54"/>
      <c r="L278" s="47"/>
      <c r="M278" s="47"/>
      <c r="N278" s="47"/>
      <c r="O278" s="47"/>
      <c r="P278" s="54"/>
      <c r="Q278" s="48"/>
      <c r="R278" s="47"/>
      <c r="S278" s="47"/>
      <c r="T278" s="47"/>
      <c r="U278" s="47"/>
      <c r="V278" s="49"/>
      <c r="W278" s="50"/>
      <c r="X278" s="50"/>
      <c r="Y278" s="50"/>
    </row>
    <row r="279" spans="1:26" x14ac:dyDescent="0.2">
      <c r="C279" s="3"/>
      <c r="D279" s="16"/>
      <c r="E279" s="16"/>
      <c r="F279" s="16"/>
      <c r="G279" s="16"/>
      <c r="H279" s="16"/>
      <c r="I279" s="16"/>
      <c r="L279" s="52"/>
      <c r="M279" s="52"/>
      <c r="N279" s="52"/>
      <c r="O279" s="52"/>
      <c r="P279" s="52"/>
      <c r="Q279" s="52"/>
    </row>
    <row r="280" spans="1:26" x14ac:dyDescent="0.2">
      <c r="A280" s="6" t="str">
        <f t="shared" ref="A280:A304" si="49">B280&amp;"&amp;"&amp;C280</f>
        <v>11- High Electric Vehicle Growth&amp;2023</v>
      </c>
      <c r="B280" s="6" t="str">
        <f>'Scenario List'!$A$13</f>
        <v>11- High Electric Vehicle Growth</v>
      </c>
      <c r="C280" s="6">
        <v>2023</v>
      </c>
      <c r="D280" s="8">
        <v>644.31806124934997</v>
      </c>
      <c r="E280" s="8">
        <v>316.36452062592934</v>
      </c>
      <c r="F280" s="8">
        <v>960.68258187527931</v>
      </c>
      <c r="G280" s="8">
        <v>410.73425545651594</v>
      </c>
      <c r="H280" s="8">
        <v>125.80072223843183</v>
      </c>
      <c r="I280" s="8">
        <v>536.53497769494777</v>
      </c>
      <c r="J280" s="12">
        <v>0.11226742477808174</v>
      </c>
      <c r="K280" s="12">
        <v>0.10241235012210727</v>
      </c>
      <c r="L280" s="8">
        <v>16.792907299955743</v>
      </c>
      <c r="M280" s="8">
        <v>9.4286154376015112</v>
      </c>
      <c r="N280" s="8">
        <v>27.701263147995576</v>
      </c>
      <c r="O280" s="8">
        <v>15.750543447168113</v>
      </c>
      <c r="P280" s="15">
        <v>2.5071495936225858</v>
      </c>
      <c r="Q280" s="15">
        <v>2.8792050200375625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5739.1363748030126</v>
      </c>
      <c r="Y280" s="8">
        <v>3474.9785073307885</v>
      </c>
      <c r="Z280" s="8"/>
    </row>
    <row r="281" spans="1:26" x14ac:dyDescent="0.2">
      <c r="A281" s="6" t="str">
        <f t="shared" si="49"/>
        <v>11- High Electric Vehicle Growth&amp;2024</v>
      </c>
      <c r="B281" s="6" t="str">
        <f>'Scenario List'!$A$13</f>
        <v>11- High Electric Vehicle Growth</v>
      </c>
      <c r="C281" s="6">
        <v>2024</v>
      </c>
      <c r="D281" s="8">
        <v>657.51128222247837</v>
      </c>
      <c r="E281" s="8">
        <v>322.00785650280835</v>
      </c>
      <c r="F281" s="8">
        <v>979.51913872528667</v>
      </c>
      <c r="G281" s="8">
        <v>417.63483116045819</v>
      </c>
      <c r="H281" s="8">
        <v>127.04075107500636</v>
      </c>
      <c r="I281" s="8">
        <v>544.6755822354645</v>
      </c>
      <c r="J281" s="12">
        <v>0.11355859680297414</v>
      </c>
      <c r="K281" s="12">
        <v>0.10392301855635501</v>
      </c>
      <c r="L281" s="8">
        <v>13.112826212842391</v>
      </c>
      <c r="M281" s="8">
        <v>7.2863989552863657</v>
      </c>
      <c r="N281" s="8">
        <v>22.214264790550743</v>
      </c>
      <c r="O281" s="8">
        <v>12.621584472666839</v>
      </c>
      <c r="P281" s="15">
        <v>2.4532169693564638</v>
      </c>
      <c r="Q281" s="15">
        <v>2.9672417086309277</v>
      </c>
      <c r="R281" s="8">
        <v>1.0380200044495842E-2</v>
      </c>
      <c r="S281" s="8">
        <v>0</v>
      </c>
      <c r="T281" s="8">
        <v>0.11416085097882279</v>
      </c>
      <c r="U281" s="8">
        <v>0</v>
      </c>
      <c r="V281" s="8">
        <v>0.97729443319812614</v>
      </c>
      <c r="W281" s="8">
        <v>0</v>
      </c>
      <c r="X281" s="8">
        <v>5790.0617014779627</v>
      </c>
      <c r="Y281" s="8">
        <v>3486.2832253032225</v>
      </c>
      <c r="Z281" s="8"/>
    </row>
    <row r="282" spans="1:26" x14ac:dyDescent="0.2">
      <c r="A282" s="6" t="str">
        <f t="shared" si="49"/>
        <v>11- High Electric Vehicle Growth&amp;2025</v>
      </c>
      <c r="B282" s="6" t="str">
        <f>'Scenario List'!$A$13</f>
        <v>11- High Electric Vehicle Growth</v>
      </c>
      <c r="C282" s="6">
        <v>2025</v>
      </c>
      <c r="D282" s="8">
        <v>681.54087703626215</v>
      </c>
      <c r="E282" s="8">
        <v>329.70226267621518</v>
      </c>
      <c r="F282" s="8">
        <v>1011.2431397124774</v>
      </c>
      <c r="G282" s="8">
        <v>413.03849015261176</v>
      </c>
      <c r="H282" s="8">
        <v>127.1952970509042</v>
      </c>
      <c r="I282" s="8">
        <v>540.23378720351593</v>
      </c>
      <c r="J282" s="12">
        <v>0.117001358327428</v>
      </c>
      <c r="K282" s="12">
        <v>0.10610465008864771</v>
      </c>
      <c r="L282" s="8">
        <v>10.302603146815205</v>
      </c>
      <c r="M282" s="8">
        <v>5.6485142142968296</v>
      </c>
      <c r="N282" s="8">
        <v>17.538412106011663</v>
      </c>
      <c r="O282" s="8">
        <v>9.5130899343328394</v>
      </c>
      <c r="P282" s="15">
        <v>2.267704348036649</v>
      </c>
      <c r="Q282" s="15">
        <v>2.7196586755011132</v>
      </c>
      <c r="R282" s="8">
        <v>0.454670475539243</v>
      </c>
      <c r="S282" s="8">
        <v>0</v>
      </c>
      <c r="T282" s="8">
        <v>0.55975956888744105</v>
      </c>
      <c r="U282" s="8">
        <v>0</v>
      </c>
      <c r="V282" s="8">
        <v>1.9714226177824343</v>
      </c>
      <c r="W282" s="8">
        <v>0</v>
      </c>
      <c r="X282" s="8">
        <v>5825.0680742438199</v>
      </c>
      <c r="Y282" s="8">
        <v>3498.3868321130481</v>
      </c>
      <c r="Z282" s="8"/>
    </row>
    <row r="283" spans="1:26" x14ac:dyDescent="0.2">
      <c r="A283" s="6" t="str">
        <f t="shared" si="49"/>
        <v>11- High Electric Vehicle Growth&amp;2026</v>
      </c>
      <c r="B283" s="6" t="str">
        <f>'Scenario List'!$A$13</f>
        <v>11- High Electric Vehicle Growth</v>
      </c>
      <c r="C283" s="6">
        <v>2026</v>
      </c>
      <c r="D283" s="8">
        <v>690.72513757404477</v>
      </c>
      <c r="E283" s="8">
        <v>339.77167077992488</v>
      </c>
      <c r="F283" s="8">
        <v>1030.4968083539698</v>
      </c>
      <c r="G283" s="8">
        <v>311.94957107794477</v>
      </c>
      <c r="H283" s="8">
        <v>129.35627826028789</v>
      </c>
      <c r="I283" s="8">
        <v>441.30584933823263</v>
      </c>
      <c r="J283" s="12">
        <v>0.11921698713109287</v>
      </c>
      <c r="K283" s="12">
        <v>0.11027119345336329</v>
      </c>
      <c r="L283" s="8">
        <v>13.33517143606055</v>
      </c>
      <c r="M283" s="8">
        <v>7.197801125684621</v>
      </c>
      <c r="N283" s="8">
        <v>23.047467172266465</v>
      </c>
      <c r="O283" s="8">
        <v>12.643765912238223</v>
      </c>
      <c r="P283" s="15">
        <v>1.357664703805691</v>
      </c>
      <c r="Q283" s="15">
        <v>1.4922093815351607</v>
      </c>
      <c r="R283" s="8">
        <v>1.4307627098382938</v>
      </c>
      <c r="S283" s="8">
        <v>0</v>
      </c>
      <c r="T283" s="8">
        <v>1.5898481240728632</v>
      </c>
      <c r="U283" s="8">
        <v>0</v>
      </c>
      <c r="V283" s="8">
        <v>2.9826784510598912</v>
      </c>
      <c r="W283" s="8">
        <v>0</v>
      </c>
      <c r="X283" s="8">
        <v>5793.8482945766154</v>
      </c>
      <c r="Y283" s="8">
        <v>3473.5958590531941</v>
      </c>
      <c r="Z283" s="8"/>
    </row>
    <row r="284" spans="1:26" x14ac:dyDescent="0.2">
      <c r="A284" s="6" t="str">
        <f t="shared" si="49"/>
        <v>11- High Electric Vehicle Growth&amp;2027</v>
      </c>
      <c r="B284" s="6" t="str">
        <f>'Scenario List'!$A$13</f>
        <v>11- High Electric Vehicle Growth</v>
      </c>
      <c r="C284" s="6">
        <v>2027</v>
      </c>
      <c r="D284" s="8">
        <v>710.44181369106491</v>
      </c>
      <c r="E284" s="8">
        <v>343.96585510160276</v>
      </c>
      <c r="F284" s="8">
        <v>1054.4076687926677</v>
      </c>
      <c r="G284" s="8">
        <v>309.73277253517944</v>
      </c>
      <c r="H284" s="8">
        <v>125.25430330048241</v>
      </c>
      <c r="I284" s="8">
        <v>434.98707583566181</v>
      </c>
      <c r="J284" s="12">
        <v>0.12181467140174565</v>
      </c>
      <c r="K284" s="12">
        <v>0.11086179490312843</v>
      </c>
      <c r="L284" s="8">
        <v>10.960316763687795</v>
      </c>
      <c r="M284" s="8">
        <v>6.0209165955406529</v>
      </c>
      <c r="N284" s="8">
        <v>16.060407520197373</v>
      </c>
      <c r="O284" s="8">
        <v>8.7578068065030692</v>
      </c>
      <c r="P284" s="15">
        <v>1.5322265533850041</v>
      </c>
      <c r="Q284" s="15">
        <v>1.4329042999731518</v>
      </c>
      <c r="R284" s="8">
        <v>3.1283509710090698</v>
      </c>
      <c r="S284" s="8">
        <v>0</v>
      </c>
      <c r="T284" s="8">
        <v>3.3425748974627796</v>
      </c>
      <c r="U284" s="8">
        <v>0</v>
      </c>
      <c r="V284" s="8">
        <v>4.0266198386112562</v>
      </c>
      <c r="W284" s="8">
        <v>0</v>
      </c>
      <c r="X284" s="8">
        <v>5832.1531020514167</v>
      </c>
      <c r="Y284" s="8">
        <v>3493.9315160316728</v>
      </c>
      <c r="Z284" s="8"/>
    </row>
    <row r="285" spans="1:26" x14ac:dyDescent="0.2">
      <c r="A285" s="6" t="str">
        <f t="shared" si="49"/>
        <v>11- High Electric Vehicle Growth&amp;2028</v>
      </c>
      <c r="B285" s="6" t="str">
        <f>'Scenario List'!$A$13</f>
        <v>11- High Electric Vehicle Growth</v>
      </c>
      <c r="C285" s="6">
        <v>2028</v>
      </c>
      <c r="D285" s="8">
        <v>737.27797124745223</v>
      </c>
      <c r="E285" s="8">
        <v>352.71010414601602</v>
      </c>
      <c r="F285" s="8">
        <v>1089.9880753934683</v>
      </c>
      <c r="G285" s="8">
        <v>315.41073822699536</v>
      </c>
      <c r="H285" s="8">
        <v>125.35873251109192</v>
      </c>
      <c r="I285" s="8">
        <v>440.76947073808731</v>
      </c>
      <c r="J285" s="12">
        <v>0.12555410572817016</v>
      </c>
      <c r="K285" s="12">
        <v>0.11293537719811218</v>
      </c>
      <c r="L285" s="8">
        <v>13.166399372639983</v>
      </c>
      <c r="M285" s="8">
        <v>7.2762214945977117</v>
      </c>
      <c r="N285" s="8">
        <v>25.259037600533134</v>
      </c>
      <c r="O285" s="8">
        <v>14.12188450980193</v>
      </c>
      <c r="P285" s="15">
        <v>1.5730832543333051</v>
      </c>
      <c r="Q285" s="15">
        <v>1.4184150619134281</v>
      </c>
      <c r="R285" s="8">
        <v>3.7086057963520349</v>
      </c>
      <c r="S285" s="8">
        <v>0</v>
      </c>
      <c r="T285" s="8">
        <v>3.9784722455761088</v>
      </c>
      <c r="U285" s="8">
        <v>0</v>
      </c>
      <c r="V285" s="8">
        <v>5.0761915758614151</v>
      </c>
      <c r="W285" s="8">
        <v>0</v>
      </c>
      <c r="X285" s="8">
        <v>5872.1932426780977</v>
      </c>
      <c r="Y285" s="8">
        <v>3512.6677294463029</v>
      </c>
      <c r="Z285" s="8"/>
    </row>
    <row r="286" spans="1:26" x14ac:dyDescent="0.2">
      <c r="A286" s="6" t="str">
        <f t="shared" si="49"/>
        <v>11- High Electric Vehicle Growth&amp;2029</v>
      </c>
      <c r="B286" s="6" t="str">
        <f>'Scenario List'!$A$13</f>
        <v>11- High Electric Vehicle Growth</v>
      </c>
      <c r="C286" s="6">
        <v>2029</v>
      </c>
      <c r="D286" s="8">
        <v>762.41849423759027</v>
      </c>
      <c r="E286" s="8">
        <v>363.5300390004096</v>
      </c>
      <c r="F286" s="8">
        <v>1125.948533238</v>
      </c>
      <c r="G286" s="8">
        <v>317.27623614321084</v>
      </c>
      <c r="H286" s="8">
        <v>127.17875502946825</v>
      </c>
      <c r="I286" s="8">
        <v>444.45499117267912</v>
      </c>
      <c r="J286" s="12">
        <v>0.1290254797488169</v>
      </c>
      <c r="K286" s="12">
        <v>0.11554316878022571</v>
      </c>
      <c r="L286" s="8">
        <v>14.722055106121784</v>
      </c>
      <c r="M286" s="8">
        <v>8.1812627562482714</v>
      </c>
      <c r="N286" s="8">
        <v>23.860259735837701</v>
      </c>
      <c r="O286" s="8">
        <v>13.385759086164654</v>
      </c>
      <c r="P286" s="15">
        <v>1.5569681058365379</v>
      </c>
      <c r="Q286" s="15">
        <v>1.3845054987276737</v>
      </c>
      <c r="R286" s="8">
        <v>3.8710158394504677</v>
      </c>
      <c r="S286" s="8">
        <v>0</v>
      </c>
      <c r="T286" s="8">
        <v>4.1990773511035107</v>
      </c>
      <c r="U286" s="8">
        <v>0</v>
      </c>
      <c r="V286" s="8">
        <v>6.2330758716274612</v>
      </c>
      <c r="W286" s="8">
        <v>0</v>
      </c>
      <c r="X286" s="8">
        <v>5909.0537444374913</v>
      </c>
      <c r="Y286" s="8">
        <v>3533.6786572843871</v>
      </c>
      <c r="Z286" s="8"/>
    </row>
    <row r="287" spans="1:26" x14ac:dyDescent="0.2">
      <c r="A287" s="6" t="str">
        <f t="shared" si="49"/>
        <v>11- High Electric Vehicle Growth&amp;2030</v>
      </c>
      <c r="B287" s="6" t="str">
        <f>'Scenario List'!$A$13</f>
        <v>11- High Electric Vehicle Growth</v>
      </c>
      <c r="C287" s="6">
        <v>2030</v>
      </c>
      <c r="D287" s="8">
        <v>788.6985505390154</v>
      </c>
      <c r="E287" s="8">
        <v>374.96374222756435</v>
      </c>
      <c r="F287" s="8">
        <v>1163.6622927665799</v>
      </c>
      <c r="G287" s="8">
        <v>321.89108144719211</v>
      </c>
      <c r="H287" s="8">
        <v>129.49542411988475</v>
      </c>
      <c r="I287" s="8">
        <v>451.38650556707682</v>
      </c>
      <c r="J287" s="12">
        <v>0.13265766227246034</v>
      </c>
      <c r="K287" s="12">
        <v>0.11859869831656702</v>
      </c>
      <c r="L287" s="8">
        <v>12.473719901978173</v>
      </c>
      <c r="M287" s="8">
        <v>9.0250300816955722</v>
      </c>
      <c r="N287" s="8">
        <v>21.367180723986735</v>
      </c>
      <c r="O287" s="8">
        <v>16.379890033447509</v>
      </c>
      <c r="P287" s="15">
        <v>1.4533807708328601</v>
      </c>
      <c r="Q287" s="15">
        <v>1.4482233725931652</v>
      </c>
      <c r="R287" s="8">
        <v>18.108068845705507</v>
      </c>
      <c r="S287" s="8">
        <v>0</v>
      </c>
      <c r="T287" s="8">
        <v>27.228305936522677</v>
      </c>
      <c r="U287" s="8">
        <v>0</v>
      </c>
      <c r="V287" s="8">
        <v>666.52483931614233</v>
      </c>
      <c r="W287" s="8">
        <v>0</v>
      </c>
      <c r="X287" s="8">
        <v>5945.367474659236</v>
      </c>
      <c r="Y287" s="8">
        <v>3552.8793248077527</v>
      </c>
      <c r="Z287" s="8"/>
    </row>
    <row r="288" spans="1:26" x14ac:dyDescent="0.2">
      <c r="A288" s="6" t="str">
        <f t="shared" si="49"/>
        <v>11- High Electric Vehicle Growth&amp;2031</v>
      </c>
      <c r="B288" s="6" t="str">
        <f>'Scenario List'!$A$13</f>
        <v>11- High Electric Vehicle Growth</v>
      </c>
      <c r="C288" s="6">
        <v>2031</v>
      </c>
      <c r="D288" s="8">
        <v>823.96465387160572</v>
      </c>
      <c r="E288" s="8">
        <v>389.16685220752646</v>
      </c>
      <c r="F288" s="8">
        <v>1213.1315060791321</v>
      </c>
      <c r="G288" s="8">
        <v>323.67354504612433</v>
      </c>
      <c r="H288" s="8">
        <v>134.08611759906256</v>
      </c>
      <c r="I288" s="8">
        <v>457.75966264518689</v>
      </c>
      <c r="J288" s="12">
        <v>0.13732182536615742</v>
      </c>
      <c r="K288" s="12">
        <v>0.12216469378281039</v>
      </c>
      <c r="L288" s="8">
        <v>11.234140999395217</v>
      </c>
      <c r="M288" s="8">
        <v>8.2556448252728813</v>
      </c>
      <c r="N288" s="8">
        <v>20.630326176845301</v>
      </c>
      <c r="O288" s="8">
        <v>14.188564982637203</v>
      </c>
      <c r="P288" s="15">
        <v>1.3682008060927986</v>
      </c>
      <c r="Q288" s="15">
        <v>1.3178533229172604</v>
      </c>
      <c r="R288" s="8">
        <v>17.486043113795098</v>
      </c>
      <c r="S288" s="8">
        <v>0</v>
      </c>
      <c r="T288" s="8">
        <v>26.558553598461749</v>
      </c>
      <c r="U288" s="8">
        <v>0</v>
      </c>
      <c r="V288" s="8">
        <v>666.28914895642993</v>
      </c>
      <c r="W288" s="8">
        <v>0</v>
      </c>
      <c r="X288" s="8">
        <v>6000.2454211089271</v>
      </c>
      <c r="Y288" s="8">
        <v>3576.8219721628238</v>
      </c>
      <c r="Z288" s="8"/>
    </row>
    <row r="289" spans="1:26" x14ac:dyDescent="0.2">
      <c r="A289" s="6" t="str">
        <f t="shared" si="49"/>
        <v>11- High Electric Vehicle Growth&amp;2032</v>
      </c>
      <c r="B289" s="6" t="str">
        <f>'Scenario List'!$A$13</f>
        <v>11- High Electric Vehicle Growth</v>
      </c>
      <c r="C289" s="6">
        <v>2032</v>
      </c>
      <c r="D289" s="8">
        <v>865.86943406072737</v>
      </c>
      <c r="E289" s="8">
        <v>401.49332115334903</v>
      </c>
      <c r="F289" s="8">
        <v>1267.3627552140765</v>
      </c>
      <c r="G289" s="8">
        <v>337.20200281449706</v>
      </c>
      <c r="H289" s="8">
        <v>136.45698144549732</v>
      </c>
      <c r="I289" s="8">
        <v>473.65898425999438</v>
      </c>
      <c r="J289" s="12">
        <v>0.14266922182759997</v>
      </c>
      <c r="K289" s="12">
        <v>0.125074798445963</v>
      </c>
      <c r="L289" s="8">
        <v>9.0660949497006804</v>
      </c>
      <c r="M289" s="8">
        <v>8.9984431268383371</v>
      </c>
      <c r="N289" s="8">
        <v>14.94331859129376</v>
      </c>
      <c r="O289" s="8">
        <v>17.749807433693576</v>
      </c>
      <c r="P289" s="15">
        <v>1.211698325691611</v>
      </c>
      <c r="Q289" s="15">
        <v>1.2400831169937785</v>
      </c>
      <c r="R289" s="8">
        <v>96.940496566710806</v>
      </c>
      <c r="S289" s="8">
        <v>0</v>
      </c>
      <c r="T289" s="8">
        <v>94.93748960161804</v>
      </c>
      <c r="U289" s="8">
        <v>0</v>
      </c>
      <c r="V289" s="8">
        <v>1648.9863913135398</v>
      </c>
      <c r="W289" s="8">
        <v>0</v>
      </c>
      <c r="X289" s="8">
        <v>6069.0695790507298</v>
      </c>
      <c r="Y289" s="8">
        <v>3601.9685765089403</v>
      </c>
      <c r="Z289" s="8"/>
    </row>
    <row r="290" spans="1:26" x14ac:dyDescent="0.2">
      <c r="A290" s="6" t="str">
        <f t="shared" si="49"/>
        <v>11- High Electric Vehicle Growth&amp;2033</v>
      </c>
      <c r="B290" s="6" t="str">
        <f>'Scenario List'!$A$13</f>
        <v>11- High Electric Vehicle Growth</v>
      </c>
      <c r="C290" s="6">
        <v>2033</v>
      </c>
      <c r="D290" s="8">
        <v>892.97214049814829</v>
      </c>
      <c r="E290" s="8">
        <v>413.08580795484653</v>
      </c>
      <c r="F290" s="8">
        <v>1306.0579484529949</v>
      </c>
      <c r="G290" s="8">
        <v>338.01599432736884</v>
      </c>
      <c r="H290" s="8">
        <v>137.63403653140321</v>
      </c>
      <c r="I290" s="8">
        <v>475.65003085877208</v>
      </c>
      <c r="J290" s="12">
        <v>0.14531686474925004</v>
      </c>
      <c r="K290" s="12">
        <v>0.12749785770126973</v>
      </c>
      <c r="L290" s="8">
        <v>9.4937655991316685</v>
      </c>
      <c r="M290" s="8">
        <v>8.9339411015245052</v>
      </c>
      <c r="N290" s="8">
        <v>15.700882117222434</v>
      </c>
      <c r="O290" s="8">
        <v>15.869649265912813</v>
      </c>
      <c r="P290" s="15">
        <v>1.1919297633110999</v>
      </c>
      <c r="Q290" s="15">
        <v>1.2104176768359198</v>
      </c>
      <c r="R290" s="8">
        <v>95.334830986415781</v>
      </c>
      <c r="S290" s="8">
        <v>0</v>
      </c>
      <c r="T290" s="8">
        <v>93.428595329307257</v>
      </c>
      <c r="U290" s="8">
        <v>0</v>
      </c>
      <c r="V290" s="8">
        <v>1644.0296600879306</v>
      </c>
      <c r="W290" s="8">
        <v>0</v>
      </c>
      <c r="X290" s="8">
        <v>6145.0000455143791</v>
      </c>
      <c r="Y290" s="8">
        <v>3630.353413790122</v>
      </c>
      <c r="Z290" s="8"/>
    </row>
    <row r="291" spans="1:26" x14ac:dyDescent="0.2">
      <c r="A291" s="6" t="str">
        <f t="shared" si="49"/>
        <v>11- High Electric Vehicle Growth&amp;2034</v>
      </c>
      <c r="B291" s="6" t="str">
        <f>'Scenario List'!$A$13</f>
        <v>11- High Electric Vehicle Growth</v>
      </c>
      <c r="C291" s="6">
        <v>2034</v>
      </c>
      <c r="D291" s="8">
        <v>907.62023401140971</v>
      </c>
      <c r="E291" s="8">
        <v>426.14723672781872</v>
      </c>
      <c r="F291" s="8">
        <v>1333.7674707392284</v>
      </c>
      <c r="G291" s="8">
        <v>326.00701013841285</v>
      </c>
      <c r="H291" s="8">
        <v>139.88755748002239</v>
      </c>
      <c r="I291" s="8">
        <v>465.89456761843525</v>
      </c>
      <c r="J291" s="12">
        <v>0.14548792822193993</v>
      </c>
      <c r="K291" s="12">
        <v>0.13027223535575691</v>
      </c>
      <c r="L291" s="8">
        <v>9.7247417216531122</v>
      </c>
      <c r="M291" s="8">
        <v>10.441642378142753</v>
      </c>
      <c r="N291" s="8">
        <v>18.074163318715023</v>
      </c>
      <c r="O291" s="8">
        <v>18.505005438068437</v>
      </c>
      <c r="P291" s="15">
        <v>1.2999812758105129</v>
      </c>
      <c r="Q291" s="15">
        <v>1.2995726290912375</v>
      </c>
      <c r="R291" s="8">
        <v>93.681186697502994</v>
      </c>
      <c r="S291" s="8">
        <v>97.441542725319124</v>
      </c>
      <c r="T291" s="8">
        <v>91.811175311943657</v>
      </c>
      <c r="U291" s="8">
        <v>91.913726768699163</v>
      </c>
      <c r="V291" s="8">
        <v>1640.9490385341612</v>
      </c>
      <c r="W291" s="8">
        <v>216.57702845081221</v>
      </c>
      <c r="X291" s="8">
        <v>6238.4573421572604</v>
      </c>
      <c r="Y291" s="8">
        <v>3660.6760616795727</v>
      </c>
      <c r="Z291" s="8"/>
    </row>
    <row r="292" spans="1:26" x14ac:dyDescent="0.2">
      <c r="A292" s="6" t="str">
        <f t="shared" si="49"/>
        <v>11- High Electric Vehicle Growth&amp;2035</v>
      </c>
      <c r="B292" s="6" t="str">
        <f>'Scenario List'!$A$13</f>
        <v>11- High Electric Vehicle Growth</v>
      </c>
      <c r="C292" s="6">
        <v>2035</v>
      </c>
      <c r="D292" s="8">
        <v>942.65382338363452</v>
      </c>
      <c r="E292" s="8">
        <v>441.83081869953583</v>
      </c>
      <c r="F292" s="8">
        <v>1384.4846420831705</v>
      </c>
      <c r="G292" s="8">
        <v>336.38142348291149</v>
      </c>
      <c r="H292" s="8">
        <v>144.46788032081571</v>
      </c>
      <c r="I292" s="8">
        <v>480.8493038037272</v>
      </c>
      <c r="J292" s="12">
        <v>0.14850033473449009</v>
      </c>
      <c r="K292" s="12">
        <v>0.13379847711658027</v>
      </c>
      <c r="L292" s="8">
        <v>10.978446841553232</v>
      </c>
      <c r="M292" s="8">
        <v>11.243585730712571</v>
      </c>
      <c r="N292" s="8">
        <v>18.585097498767325</v>
      </c>
      <c r="O292" s="8">
        <v>21.556788527056028</v>
      </c>
      <c r="P292" s="15">
        <v>1.3185645276746627</v>
      </c>
      <c r="Q292" s="15">
        <v>1.3057332162301212</v>
      </c>
      <c r="R292" s="8">
        <v>92.186631508806101</v>
      </c>
      <c r="S292" s="8">
        <v>97.441542725319124</v>
      </c>
      <c r="T292" s="8">
        <v>90.358903572650718</v>
      </c>
      <c r="U292" s="8">
        <v>91.913726768699163</v>
      </c>
      <c r="V292" s="8">
        <v>1653.1836569913025</v>
      </c>
      <c r="W292" s="8">
        <v>220.21446548479517</v>
      </c>
      <c r="X292" s="8">
        <v>6347.8228858476605</v>
      </c>
      <c r="Y292" s="8">
        <v>3693.54368243205</v>
      </c>
      <c r="Z292" s="8"/>
    </row>
    <row r="293" spans="1:26" x14ac:dyDescent="0.2">
      <c r="A293" s="6" t="str">
        <f t="shared" si="49"/>
        <v>11- High Electric Vehicle Growth&amp;2036</v>
      </c>
      <c r="B293" s="6" t="str">
        <f>'Scenario List'!$A$13</f>
        <v>11- High Electric Vehicle Growth</v>
      </c>
      <c r="C293" s="6">
        <v>2036</v>
      </c>
      <c r="D293" s="8">
        <v>990.33831876055149</v>
      </c>
      <c r="E293" s="8">
        <v>456.06207012235643</v>
      </c>
      <c r="F293" s="8">
        <v>1446.4003888829079</v>
      </c>
      <c r="G293" s="8">
        <v>355.78027984700583</v>
      </c>
      <c r="H293" s="8">
        <v>147.13247494461316</v>
      </c>
      <c r="I293" s="8">
        <v>502.91275479161902</v>
      </c>
      <c r="J293" s="12">
        <v>0.15290766466023387</v>
      </c>
      <c r="K293" s="12">
        <v>0.13668140739752591</v>
      </c>
      <c r="L293" s="8">
        <v>11.862059343137233</v>
      </c>
      <c r="M293" s="8">
        <v>11.54748290137703</v>
      </c>
      <c r="N293" s="8">
        <v>20.867053923166822</v>
      </c>
      <c r="O293" s="8">
        <v>20.506589229958848</v>
      </c>
      <c r="P293" s="15">
        <v>1.3240512225245382</v>
      </c>
      <c r="Q293" s="15">
        <v>1.2843229434456904</v>
      </c>
      <c r="R293" s="8">
        <v>170.66825731735108</v>
      </c>
      <c r="S293" s="8">
        <v>97.441542725319124</v>
      </c>
      <c r="T293" s="8">
        <v>164.35103376481891</v>
      </c>
      <c r="U293" s="8">
        <v>91.928830090985016</v>
      </c>
      <c r="V293" s="8">
        <v>1659.2903313419492</v>
      </c>
      <c r="W293" s="8">
        <v>226.68756278645336</v>
      </c>
      <c r="X293" s="8">
        <v>6476.7081556121966</v>
      </c>
      <c r="Y293" s="8">
        <v>3728.8942177796839</v>
      </c>
      <c r="Z293" s="8"/>
    </row>
    <row r="294" spans="1:26" x14ac:dyDescent="0.2">
      <c r="A294" s="6" t="str">
        <f t="shared" si="49"/>
        <v>11- High Electric Vehicle Growth&amp;2037</v>
      </c>
      <c r="B294" s="6" t="str">
        <f>'Scenario List'!$A$13</f>
        <v>11- High Electric Vehicle Growth</v>
      </c>
      <c r="C294" s="6">
        <v>2037</v>
      </c>
      <c r="D294" s="8">
        <v>1048.4541925010558</v>
      </c>
      <c r="E294" s="8">
        <v>473.5341311240183</v>
      </c>
      <c r="F294" s="8">
        <v>1521.9883236250741</v>
      </c>
      <c r="G294" s="8">
        <v>385.46153242598314</v>
      </c>
      <c r="H294" s="8">
        <v>152.52859556014482</v>
      </c>
      <c r="I294" s="8">
        <v>537.99012798612796</v>
      </c>
      <c r="J294" s="12">
        <v>0.15846279178564027</v>
      </c>
      <c r="K294" s="12">
        <v>0.14023408500537193</v>
      </c>
      <c r="L294" s="8">
        <v>13.474677600005069</v>
      </c>
      <c r="M294" s="8">
        <v>12.55046975012999</v>
      </c>
      <c r="N294" s="8">
        <v>24.202756056934248</v>
      </c>
      <c r="O294" s="8">
        <v>21.992566970433003</v>
      </c>
      <c r="P294" s="15">
        <v>1.3297520935771987</v>
      </c>
      <c r="Q294" s="15">
        <v>1.2529572488537521</v>
      </c>
      <c r="R294" s="8">
        <v>272.45610387606871</v>
      </c>
      <c r="S294" s="8">
        <v>97.441542725319124</v>
      </c>
      <c r="T294" s="8">
        <v>260.31903832514359</v>
      </c>
      <c r="U294" s="8">
        <v>91.913726768699163</v>
      </c>
      <c r="V294" s="8">
        <v>1662.0597997692894</v>
      </c>
      <c r="W294" s="8">
        <v>217.83450156974669</v>
      </c>
      <c r="X294" s="8">
        <v>6616.4061650469139</v>
      </c>
      <c r="Y294" s="8">
        <v>3768.4525611961881</v>
      </c>
      <c r="Z294" s="8"/>
    </row>
    <row r="295" spans="1:26" x14ac:dyDescent="0.2">
      <c r="A295" s="6" t="str">
        <f t="shared" si="49"/>
        <v>11- High Electric Vehicle Growth&amp;2038</v>
      </c>
      <c r="B295" s="6" t="str">
        <f>'Scenario List'!$A$13</f>
        <v>11- High Electric Vehicle Growth</v>
      </c>
      <c r="C295" s="6">
        <v>2038</v>
      </c>
      <c r="D295" s="8">
        <v>1085.8044290330072</v>
      </c>
      <c r="E295" s="8">
        <v>488.70319611358673</v>
      </c>
      <c r="F295" s="8">
        <v>1574.5076251465939</v>
      </c>
      <c r="G295" s="8">
        <v>390.93055033479254</v>
      </c>
      <c r="H295" s="8">
        <v>155.16804513156058</v>
      </c>
      <c r="I295" s="8">
        <v>546.09859546635312</v>
      </c>
      <c r="J295" s="12">
        <v>0.1602506525152739</v>
      </c>
      <c r="K295" s="12">
        <v>0.14288672462578786</v>
      </c>
      <c r="L295" s="8">
        <v>16.439749841044307</v>
      </c>
      <c r="M295" s="8">
        <v>14.594675827868585</v>
      </c>
      <c r="N295" s="8">
        <v>29.998680964062586</v>
      </c>
      <c r="O295" s="8">
        <v>26.61261527618521</v>
      </c>
      <c r="P295" s="15">
        <v>1.310732290793206</v>
      </c>
      <c r="Q295" s="15">
        <v>1.2031323505098657</v>
      </c>
      <c r="R295" s="8">
        <v>271.09135360545207</v>
      </c>
      <c r="S295" s="8">
        <v>97.441542725319124</v>
      </c>
      <c r="T295" s="8">
        <v>258.99759315596305</v>
      </c>
      <c r="U295" s="8">
        <v>91.913726768699163</v>
      </c>
      <c r="V295" s="8">
        <v>1658.9277735054816</v>
      </c>
      <c r="W295" s="8">
        <v>218.94545842574783</v>
      </c>
      <c r="X295" s="8">
        <v>6775.6630752534147</v>
      </c>
      <c r="Y295" s="8">
        <v>3811.385018202744</v>
      </c>
      <c r="Z295" s="8"/>
    </row>
    <row r="296" spans="1:26" x14ac:dyDescent="0.2">
      <c r="A296" s="6" t="str">
        <f t="shared" si="49"/>
        <v>11- High Electric Vehicle Growth&amp;2039</v>
      </c>
      <c r="B296" s="6" t="str">
        <f>'Scenario List'!$A$13</f>
        <v>11- High Electric Vehicle Growth</v>
      </c>
      <c r="C296" s="6">
        <v>2039</v>
      </c>
      <c r="D296" s="8">
        <v>1154.1421944234664</v>
      </c>
      <c r="E296" s="8">
        <v>508.66533716205663</v>
      </c>
      <c r="F296" s="8">
        <v>1662.8075315855231</v>
      </c>
      <c r="G296" s="8">
        <v>429.77166331255603</v>
      </c>
      <c r="H296" s="8">
        <v>162.40624273680663</v>
      </c>
      <c r="I296" s="8">
        <v>592.17790604936272</v>
      </c>
      <c r="J296" s="12">
        <v>0.16603249582334598</v>
      </c>
      <c r="K296" s="12">
        <v>0.14673959826600624</v>
      </c>
      <c r="L296" s="8">
        <v>16.1807320659406</v>
      </c>
      <c r="M296" s="8">
        <v>14.536214325383831</v>
      </c>
      <c r="N296" s="8">
        <v>31.478294442834596</v>
      </c>
      <c r="O296" s="8">
        <v>26.410452159835174</v>
      </c>
      <c r="P296" s="15">
        <v>1.1677610612504823</v>
      </c>
      <c r="Q296" s="15">
        <v>1.1889704228829796</v>
      </c>
      <c r="R296" s="8">
        <v>330.02678105116422</v>
      </c>
      <c r="S296" s="8">
        <v>97.441542725319124</v>
      </c>
      <c r="T296" s="8">
        <v>317.97668196963235</v>
      </c>
      <c r="U296" s="8">
        <v>91.913726768699163</v>
      </c>
      <c r="V296" s="8">
        <v>1355.8969112508134</v>
      </c>
      <c r="W296" s="8">
        <v>217.61610757961591</v>
      </c>
      <c r="X296" s="8">
        <v>6951.3030488407649</v>
      </c>
      <c r="Y296" s="8">
        <v>3858.1913784878757</v>
      </c>
      <c r="Z296" s="8"/>
    </row>
    <row r="297" spans="1:26" x14ac:dyDescent="0.2">
      <c r="A297" s="6" t="str">
        <f t="shared" si="49"/>
        <v>11- High Electric Vehicle Growth&amp;2040</v>
      </c>
      <c r="B297" s="6" t="str">
        <f>'Scenario List'!$A$13</f>
        <v>11- High Electric Vehicle Growth</v>
      </c>
      <c r="C297" s="6">
        <v>2040</v>
      </c>
      <c r="D297" s="8">
        <v>1209.6585043139889</v>
      </c>
      <c r="E297" s="8">
        <v>526.33118728364241</v>
      </c>
      <c r="F297" s="8">
        <v>1735.9896915976315</v>
      </c>
      <c r="G297" s="8">
        <v>454.66665038958462</v>
      </c>
      <c r="H297" s="8">
        <v>166.72110698325</v>
      </c>
      <c r="I297" s="8">
        <v>621.38775737283459</v>
      </c>
      <c r="J297" s="12">
        <v>0.16927402684320081</v>
      </c>
      <c r="K297" s="12">
        <v>0.14968412888036234</v>
      </c>
      <c r="L297" s="8">
        <v>18.93995982318031</v>
      </c>
      <c r="M297" s="8">
        <v>15.981896838101745</v>
      </c>
      <c r="N297" s="8">
        <v>36.578732096606132</v>
      </c>
      <c r="O297" s="8">
        <v>32.521045410058164</v>
      </c>
      <c r="P297" s="15">
        <v>1.2255284988047241</v>
      </c>
      <c r="Q297" s="15">
        <v>1.1740420000958665</v>
      </c>
      <c r="R297" s="8">
        <v>409.3197643915853</v>
      </c>
      <c r="S297" s="8">
        <v>114.88554272531913</v>
      </c>
      <c r="T297" s="8">
        <v>397.33726631247879</v>
      </c>
      <c r="U297" s="8">
        <v>109.37283009098502</v>
      </c>
      <c r="V297" s="8">
        <v>929.43117129070185</v>
      </c>
      <c r="W297" s="8">
        <v>133.69523095574883</v>
      </c>
      <c r="X297" s="8">
        <v>7146.1554195464396</v>
      </c>
      <c r="Y297" s="8">
        <v>3909.3471156240607</v>
      </c>
      <c r="Z297" s="8"/>
    </row>
    <row r="298" spans="1:26" x14ac:dyDescent="0.2">
      <c r="A298" s="6" t="str">
        <f t="shared" si="49"/>
        <v>11- High Electric Vehicle Growth&amp;2041</v>
      </c>
      <c r="B298" s="6" t="str">
        <f>'Scenario List'!$A$13</f>
        <v>11- High Electric Vehicle Growth</v>
      </c>
      <c r="C298" s="6">
        <v>2041</v>
      </c>
      <c r="D298" s="8">
        <v>1268.0528005833744</v>
      </c>
      <c r="E298" s="8">
        <v>536.50534761299991</v>
      </c>
      <c r="F298" s="8">
        <v>1804.5581481963743</v>
      </c>
      <c r="G298" s="8">
        <v>476.67206848121037</v>
      </c>
      <c r="H298" s="8">
        <v>163.35720383799045</v>
      </c>
      <c r="I298" s="8">
        <v>640.0292723192008</v>
      </c>
      <c r="J298" s="12">
        <v>0.17252392553583593</v>
      </c>
      <c r="K298" s="12">
        <v>0.15009976145986076</v>
      </c>
      <c r="L298" s="8">
        <v>17.666922096020254</v>
      </c>
      <c r="M298" s="8">
        <v>15.559246800458155</v>
      </c>
      <c r="N298" s="8">
        <v>31.535121219304202</v>
      </c>
      <c r="O298" s="8">
        <v>27.905963230564339</v>
      </c>
      <c r="P298" s="15">
        <v>1.3664526444025873</v>
      </c>
      <c r="Q298" s="15">
        <v>1.1316678069151815</v>
      </c>
      <c r="R298" s="8">
        <v>512.19047879073594</v>
      </c>
      <c r="S298" s="8">
        <v>163.88554272531917</v>
      </c>
      <c r="T298" s="8">
        <v>501.56435162599092</v>
      </c>
      <c r="U298" s="8">
        <v>158.35772676869925</v>
      </c>
      <c r="V298" s="8">
        <v>877.52791867775238</v>
      </c>
      <c r="W298" s="8">
        <v>-130.6754396498055</v>
      </c>
      <c r="X298" s="8">
        <v>7350.0112905788237</v>
      </c>
      <c r="Y298" s="8">
        <v>3966.2632272038145</v>
      </c>
      <c r="Z298" s="8"/>
    </row>
    <row r="299" spans="1:26" x14ac:dyDescent="0.2">
      <c r="A299" s="6" t="str">
        <f t="shared" si="49"/>
        <v>11- High Electric Vehicle Growth&amp;2042</v>
      </c>
      <c r="B299" s="6" t="str">
        <f>'Scenario List'!$A$13</f>
        <v>11- High Electric Vehicle Growth</v>
      </c>
      <c r="C299" s="6">
        <v>2042</v>
      </c>
      <c r="D299" s="8">
        <v>1388.3388037386694</v>
      </c>
      <c r="E299" s="8">
        <v>580.12145675804129</v>
      </c>
      <c r="F299" s="8">
        <v>1968.4602604967108</v>
      </c>
      <c r="G299" s="8">
        <v>518.20381710990227</v>
      </c>
      <c r="H299" s="8">
        <v>191.95427087097835</v>
      </c>
      <c r="I299" s="8">
        <v>710.15808798088062</v>
      </c>
      <c r="J299" s="12">
        <v>0.18335986199674745</v>
      </c>
      <c r="K299" s="12">
        <v>0.15951537446249353</v>
      </c>
      <c r="L299" s="8">
        <v>21.40118857223834</v>
      </c>
      <c r="M299" s="8">
        <v>21.216572799180881</v>
      </c>
      <c r="N299" s="8">
        <v>36.206913745394665</v>
      </c>
      <c r="O299" s="8">
        <v>40.612080690879139</v>
      </c>
      <c r="P299" s="15">
        <v>1.2493134341591539</v>
      </c>
      <c r="Q299" s="15">
        <v>0.9438831944006072</v>
      </c>
      <c r="R299" s="8">
        <v>772.63983410332128</v>
      </c>
      <c r="S299" s="8">
        <v>309.03397190098531</v>
      </c>
      <c r="T299" s="8">
        <v>759.49562056993238</v>
      </c>
      <c r="U299" s="8">
        <v>295.2719492555679</v>
      </c>
      <c r="V299" s="8">
        <v>564.85917407723082</v>
      </c>
      <c r="W299" s="8">
        <v>211.07921184252157</v>
      </c>
      <c r="X299" s="8">
        <v>7571.6614782536035</v>
      </c>
      <c r="Y299" s="8">
        <v>4028.3433877310035</v>
      </c>
      <c r="Z299" s="8"/>
    </row>
    <row r="300" spans="1:26" x14ac:dyDescent="0.2">
      <c r="A300" s="6" t="str">
        <f t="shared" si="49"/>
        <v>11- High Electric Vehicle Growth&amp;2043</v>
      </c>
      <c r="B300" s="6" t="str">
        <f>'Scenario List'!$A$13</f>
        <v>11- High Electric Vehicle Growth</v>
      </c>
      <c r="C300" s="6">
        <v>2043</v>
      </c>
      <c r="D300" s="8">
        <v>1496.4642911654796</v>
      </c>
      <c r="E300" s="8">
        <v>606.66337009629888</v>
      </c>
      <c r="F300" s="8">
        <v>2103.1276612617785</v>
      </c>
      <c r="G300" s="8">
        <v>589.86915580564221</v>
      </c>
      <c r="H300" s="8">
        <v>203.36270474127798</v>
      </c>
      <c r="I300" s="8">
        <v>793.23186054692019</v>
      </c>
      <c r="J300" s="12">
        <v>0.19168371732157655</v>
      </c>
      <c r="K300" s="12">
        <v>0.16375804390272494</v>
      </c>
      <c r="L300" s="8">
        <v>20.424399736625983</v>
      </c>
      <c r="M300" s="8">
        <v>21.923230184863762</v>
      </c>
      <c r="N300" s="8">
        <v>37.824730900096171</v>
      </c>
      <c r="O300" s="8">
        <v>42.772984755892409</v>
      </c>
      <c r="P300" s="15">
        <v>1.2659395824451518</v>
      </c>
      <c r="Q300" s="15">
        <v>0.94895725940812481</v>
      </c>
      <c r="R300" s="8">
        <v>866.07984049134063</v>
      </c>
      <c r="S300" s="8">
        <v>309.03397190098531</v>
      </c>
      <c r="T300" s="8">
        <v>855.69553523934746</v>
      </c>
      <c r="U300" s="8">
        <v>295.2719492555679</v>
      </c>
      <c r="V300" s="8">
        <v>1177.8198481673244</v>
      </c>
      <c r="W300" s="8">
        <v>222.27499342507025</v>
      </c>
      <c r="X300" s="8">
        <v>7806.9452746210527</v>
      </c>
      <c r="Y300" s="8">
        <v>4096.2558020949018</v>
      </c>
      <c r="Z300" s="8"/>
    </row>
    <row r="301" spans="1:26" x14ac:dyDescent="0.2">
      <c r="A301" s="6" t="str">
        <f t="shared" si="49"/>
        <v>11- High Electric Vehicle Growth&amp;2044</v>
      </c>
      <c r="B301" s="6" t="str">
        <f>'Scenario List'!$A$13</f>
        <v>11- High Electric Vehicle Growth</v>
      </c>
      <c r="C301" s="6">
        <v>2044</v>
      </c>
      <c r="D301" s="8">
        <v>1598.7816802047448</v>
      </c>
      <c r="E301" s="8">
        <v>640.4737352710074</v>
      </c>
      <c r="F301" s="8">
        <v>2239.2554154757522</v>
      </c>
      <c r="G301" s="8">
        <v>662.03130133486741</v>
      </c>
      <c r="H301" s="8">
        <v>221.52114341473356</v>
      </c>
      <c r="I301" s="8">
        <v>883.55244474960091</v>
      </c>
      <c r="J301" s="12">
        <v>0.19839866382119853</v>
      </c>
      <c r="K301" s="12">
        <v>0.16952657394524243</v>
      </c>
      <c r="L301" s="8">
        <v>23.251200894409322</v>
      </c>
      <c r="M301" s="8">
        <v>25.800304901236409</v>
      </c>
      <c r="N301" s="8">
        <v>39.272192209930878</v>
      </c>
      <c r="O301" s="8">
        <v>45.835680936438692</v>
      </c>
      <c r="P301" s="15">
        <v>1.3586993982840867</v>
      </c>
      <c r="Q301" s="15">
        <v>1.0489271392368202</v>
      </c>
      <c r="R301" s="8">
        <v>957.36155026180086</v>
      </c>
      <c r="S301" s="8">
        <v>333.00134857380505</v>
      </c>
      <c r="T301" s="8">
        <v>954.27517793992001</v>
      </c>
      <c r="U301" s="8">
        <v>319.27692708315652</v>
      </c>
      <c r="V301" s="8">
        <v>1549.3718364488577</v>
      </c>
      <c r="W301" s="8">
        <v>218.70133138418757</v>
      </c>
      <c r="X301" s="8">
        <v>8058.4296759458211</v>
      </c>
      <c r="Y301" s="8">
        <v>4171.003747316734</v>
      </c>
      <c r="Z301" s="8"/>
    </row>
    <row r="302" spans="1:26" x14ac:dyDescent="0.2">
      <c r="A302" s="6" t="str">
        <f t="shared" si="49"/>
        <v>11- High Electric Vehicle Growth&amp;2045</v>
      </c>
      <c r="B302" s="6" t="str">
        <f>'Scenario List'!$A$13</f>
        <v>11- High Electric Vehicle Growth</v>
      </c>
      <c r="C302" s="6">
        <v>2045</v>
      </c>
      <c r="D302" s="8">
        <v>1887.6784806119258</v>
      </c>
      <c r="E302" s="8">
        <v>716.70811927254658</v>
      </c>
      <c r="F302" s="8">
        <v>2604.3865998844722</v>
      </c>
      <c r="G302" s="8">
        <v>828.34540989185598</v>
      </c>
      <c r="H302" s="8">
        <v>281.25047313162105</v>
      </c>
      <c r="I302" s="8">
        <v>1109.595883023477</v>
      </c>
      <c r="J302" s="12">
        <v>0.22702652928590714</v>
      </c>
      <c r="K302" s="12">
        <v>0.18560142987365294</v>
      </c>
      <c r="L302" s="8">
        <v>26.689705090206029</v>
      </c>
      <c r="M302" s="8">
        <v>23.695345720924401</v>
      </c>
      <c r="N302" s="8">
        <v>44.701979594542443</v>
      </c>
      <c r="O302" s="8">
        <v>44.790216447937908</v>
      </c>
      <c r="P302" s="15">
        <v>0.90951683808432016</v>
      </c>
      <c r="Q302" s="15">
        <v>0.55708438269404459</v>
      </c>
      <c r="R302" s="8">
        <v>1374.2501658813762</v>
      </c>
      <c r="S302" s="8">
        <v>426.87527874300417</v>
      </c>
      <c r="T302" s="8">
        <v>1364.3644226962715</v>
      </c>
      <c r="U302" s="8">
        <v>413.11325609758671</v>
      </c>
      <c r="V302" s="8">
        <v>2965.8664632191344</v>
      </c>
      <c r="W302" s="8">
        <v>68.62429030712903</v>
      </c>
      <c r="X302" s="8">
        <v>8314.7924894480821</v>
      </c>
      <c r="Y302" s="8">
        <v>4253.3345227780883</v>
      </c>
      <c r="Z302" s="8"/>
    </row>
    <row r="303" spans="1:26" x14ac:dyDescent="0.2">
      <c r="A303" s="6" t="str">
        <f t="shared" si="49"/>
        <v>11- High Electric Vehicle Growth&amp;NPV</v>
      </c>
      <c r="B303" s="6" t="str">
        <f>'Scenario List'!$A$13</f>
        <v>11- High Electric Vehicle Growth</v>
      </c>
      <c r="C303" s="3" t="s">
        <v>6</v>
      </c>
      <c r="D303" s="16">
        <f t="shared" ref="D303:E303" si="50">NPV($B$1,D279:D302)</f>
        <v>10502.056997072405</v>
      </c>
      <c r="E303" s="16">
        <f t="shared" si="50"/>
        <v>4815.0532340218369</v>
      </c>
      <c r="F303" s="16">
        <f>NPV($B$1,F279:F302)</f>
        <v>15317.110231094239</v>
      </c>
      <c r="G303" s="16">
        <f t="shared" ref="G303:I303" si="51">NPV($B$1,G279:G302)</f>
        <v>4550.8577836422483</v>
      </c>
      <c r="H303" s="16">
        <f t="shared" si="51"/>
        <v>1684.560327963625</v>
      </c>
      <c r="I303" s="16">
        <f t="shared" si="51"/>
        <v>6235.4181116058717</v>
      </c>
      <c r="L303" s="52">
        <f t="shared" ref="L303:Q303" si="52">NPV($B$1,L279:L302)</f>
        <v>162.20471456294896</v>
      </c>
      <c r="M303" s="52">
        <f t="shared" si="52"/>
        <v>123.02628860940885</v>
      </c>
      <c r="N303" s="52">
        <f t="shared" si="52"/>
        <v>281.04331019904288</v>
      </c>
      <c r="O303" s="52">
        <f t="shared" si="52"/>
        <v>221.22397130631924</v>
      </c>
      <c r="P303" s="52">
        <f t="shared" si="52"/>
        <v>18.719533356431555</v>
      </c>
      <c r="Q303" s="52">
        <f t="shared" si="52"/>
        <v>19.201703217189358</v>
      </c>
      <c r="X303" s="52">
        <f>-PMT($B$1,22,NPV($B$1,X281:X302))</f>
        <v>6312.894623174986</v>
      </c>
      <c r="Y303" s="52">
        <f>-PMT($B$1,22,NPV($B$1,Y281:Y302))</f>
        <v>3657.75806982924</v>
      </c>
      <c r="Z303" s="8"/>
    </row>
    <row r="304" spans="1:26" x14ac:dyDescent="0.2">
      <c r="A304" s="6" t="str">
        <f t="shared" si="49"/>
        <v>11- High Electric Vehicle Growth&amp;Levelized</v>
      </c>
      <c r="B304" s="6" t="str">
        <f>'Scenario List'!$A$13</f>
        <v>11- High Electric Vehicle Growth</v>
      </c>
      <c r="C304" s="3" t="s">
        <v>7</v>
      </c>
      <c r="D304" s="16">
        <f t="shared" ref="D304:I304" si="53">-PMT($B$1,COUNT(D279:D302),D303)</f>
        <v>893.04407175017514</v>
      </c>
      <c r="E304" s="16">
        <f t="shared" si="53"/>
        <v>409.44881055239097</v>
      </c>
      <c r="F304" s="16">
        <f t="shared" si="53"/>
        <v>1302.4928823025659</v>
      </c>
      <c r="G304" s="16">
        <f t="shared" si="53"/>
        <v>386.98290879517992</v>
      </c>
      <c r="H304" s="16">
        <f t="shared" si="53"/>
        <v>143.24685295583666</v>
      </c>
      <c r="I304" s="16">
        <f t="shared" si="53"/>
        <v>530.22976175101644</v>
      </c>
      <c r="L304" s="52">
        <f t="shared" ref="L304:Q304" si="54">-PMT($B$1,COUNT(L279:L302),L303)</f>
        <v>13.793103464469059</v>
      </c>
      <c r="M304" s="52">
        <f t="shared" si="54"/>
        <v>10.461559839437731</v>
      </c>
      <c r="N304" s="52">
        <f t="shared" si="54"/>
        <v>23.898562171988413</v>
      </c>
      <c r="O304" s="52">
        <f t="shared" si="54"/>
        <v>18.811815262401705</v>
      </c>
      <c r="P304" s="52">
        <f t="shared" si="54"/>
        <v>1.5918184689486126</v>
      </c>
      <c r="Q304" s="52">
        <f t="shared" si="54"/>
        <v>1.6328198590426104</v>
      </c>
      <c r="Z304" s="8"/>
    </row>
    <row r="305" spans="1:26" ht="15" x14ac:dyDescent="0.25">
      <c r="C305" s="2"/>
      <c r="D305" s="53"/>
      <c r="E305" s="53"/>
      <c r="F305" s="53"/>
      <c r="G305" s="53"/>
      <c r="H305" s="53"/>
      <c r="I305" s="53"/>
      <c r="J305" s="54"/>
      <c r="K305" s="54"/>
      <c r="L305" s="47"/>
      <c r="M305" s="47"/>
      <c r="N305" s="47"/>
      <c r="O305" s="47"/>
      <c r="P305" s="54"/>
      <c r="Q305" s="48"/>
      <c r="R305" s="47"/>
      <c r="S305" s="47"/>
      <c r="T305" s="47"/>
      <c r="U305" s="47"/>
      <c r="V305" s="49"/>
      <c r="W305" s="50"/>
      <c r="X305" s="50"/>
      <c r="Y305" s="50"/>
    </row>
    <row r="306" spans="1:26" ht="15" x14ac:dyDescent="0.25">
      <c r="C306" s="2"/>
      <c r="D306" s="53"/>
      <c r="E306" s="53"/>
      <c r="F306" s="53"/>
      <c r="G306" s="53"/>
      <c r="H306" s="53"/>
      <c r="I306" s="53"/>
      <c r="J306" s="54"/>
      <c r="K306" s="54"/>
      <c r="L306" s="47"/>
      <c r="M306" s="47"/>
      <c r="N306" s="47"/>
      <c r="O306" s="47"/>
      <c r="P306" s="54"/>
      <c r="Q306" s="48"/>
      <c r="R306" s="47"/>
      <c r="S306" s="47"/>
      <c r="T306" s="47"/>
      <c r="U306" s="47"/>
      <c r="V306" s="49"/>
      <c r="W306" s="50"/>
      <c r="X306" s="50"/>
      <c r="Y306" s="50"/>
    </row>
    <row r="307" spans="1:26" x14ac:dyDescent="0.2">
      <c r="A307" s="6" t="str">
        <f t="shared" ref="A307:A331" si="55">B307&amp;"&amp;"&amp;C307</f>
        <v>12- WA Space/ Water Electrification&amp;2023</v>
      </c>
      <c r="B307" s="6" t="str">
        <f>'Scenario List'!$A$14</f>
        <v>12- WA Space/ Water Electrification</v>
      </c>
      <c r="C307" s="6">
        <v>2023</v>
      </c>
      <c r="D307" s="8">
        <v>645.78671770949643</v>
      </c>
      <c r="E307" s="8">
        <v>316.36080964867438</v>
      </c>
      <c r="F307" s="8">
        <v>962.14752735817081</v>
      </c>
      <c r="G307" s="8">
        <v>412.19383522307254</v>
      </c>
      <c r="H307" s="8">
        <v>125.7971560850752</v>
      </c>
      <c r="I307" s="8">
        <v>537.99099130814773</v>
      </c>
      <c r="J307" s="12">
        <v>0.11199763544432119</v>
      </c>
      <c r="K307" s="12">
        <v>0.10241087075091672</v>
      </c>
      <c r="L307" s="8">
        <v>16.941627816665775</v>
      </c>
      <c r="M307" s="8">
        <v>9.4282091738427454</v>
      </c>
      <c r="N307" s="8">
        <v>27.770336047515599</v>
      </c>
      <c r="O307" s="8">
        <v>15.750601769081825</v>
      </c>
      <c r="P307" s="15">
        <v>2.5071495936225858</v>
      </c>
      <c r="Q307" s="15">
        <v>2.8792050200375625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5766.0745706595262</v>
      </c>
      <c r="Y307" s="8">
        <v>3474.9868949641323</v>
      </c>
      <c r="Z307" s="8"/>
    </row>
    <row r="308" spans="1:26" x14ac:dyDescent="0.2">
      <c r="A308" s="6" t="str">
        <f t="shared" si="55"/>
        <v>12- WA Space/ Water Electrification&amp;2024</v>
      </c>
      <c r="B308" s="6" t="str">
        <f>'Scenario List'!$A$14</f>
        <v>12- WA Space/ Water Electrification</v>
      </c>
      <c r="C308" s="6">
        <v>2024</v>
      </c>
      <c r="D308" s="8">
        <v>658.81007602679551</v>
      </c>
      <c r="E308" s="8">
        <v>322.00454186604082</v>
      </c>
      <c r="F308" s="8">
        <v>980.8146178928364</v>
      </c>
      <c r="G308" s="8">
        <v>418.91267443827513</v>
      </c>
      <c r="H308" s="8">
        <v>127.03772237779762</v>
      </c>
      <c r="I308" s="8">
        <v>545.95039681607273</v>
      </c>
      <c r="J308" s="12">
        <v>0.11328077369127097</v>
      </c>
      <c r="K308" s="12">
        <v>0.10391822307932783</v>
      </c>
      <c r="L308" s="8">
        <v>13.237134884103027</v>
      </c>
      <c r="M308" s="8">
        <v>7.2864330240596695</v>
      </c>
      <c r="N308" s="8">
        <v>22.296377703928641</v>
      </c>
      <c r="O308" s="8">
        <v>12.621685219338147</v>
      </c>
      <c r="P308" s="15">
        <v>2.4532169693564638</v>
      </c>
      <c r="Q308" s="15">
        <v>2.9672417086309277</v>
      </c>
      <c r="R308" s="8">
        <v>1.0380200044495842E-2</v>
      </c>
      <c r="S308" s="8">
        <v>0</v>
      </c>
      <c r="T308" s="8">
        <v>0.11416085097882279</v>
      </c>
      <c r="U308" s="8">
        <v>0</v>
      </c>
      <c r="V308" s="8">
        <v>0.97729443319812614</v>
      </c>
      <c r="W308" s="8">
        <v>0</v>
      </c>
      <c r="X308" s="8">
        <v>5815.7271932329777</v>
      </c>
      <c r="Y308" s="8">
        <v>3486.3943151433373</v>
      </c>
      <c r="Z308" s="8"/>
    </row>
    <row r="309" spans="1:26" x14ac:dyDescent="0.2">
      <c r="A309" s="6" t="str">
        <f t="shared" si="55"/>
        <v>12- WA Space/ Water Electrification&amp;2025</v>
      </c>
      <c r="B309" s="6" t="str">
        <f>'Scenario List'!$A$14</f>
        <v>12- WA Space/ Water Electrification</v>
      </c>
      <c r="C309" s="6">
        <v>2025</v>
      </c>
      <c r="D309" s="8">
        <v>682.74105669652647</v>
      </c>
      <c r="E309" s="8">
        <v>329.69585183654658</v>
      </c>
      <c r="F309" s="8">
        <v>1012.4369085330731</v>
      </c>
      <c r="G309" s="8">
        <v>414.20243012202468</v>
      </c>
      <c r="H309" s="8">
        <v>127.18930804114513</v>
      </c>
      <c r="I309" s="8">
        <v>541.39173816316975</v>
      </c>
      <c r="J309" s="12">
        <v>0.11666306670845659</v>
      </c>
      <c r="K309" s="12">
        <v>0.10609621249011712</v>
      </c>
      <c r="L309" s="8">
        <v>10.439952019675539</v>
      </c>
      <c r="M309" s="8">
        <v>5.6486396624131263</v>
      </c>
      <c r="N309" s="8">
        <v>17.773351811719863</v>
      </c>
      <c r="O309" s="8">
        <v>9.5122849104051284</v>
      </c>
      <c r="P309" s="15">
        <v>2.267704348036649</v>
      </c>
      <c r="Q309" s="15">
        <v>2.7196586755011132</v>
      </c>
      <c r="R309" s="8">
        <v>0.454670475539243</v>
      </c>
      <c r="S309" s="8">
        <v>0</v>
      </c>
      <c r="T309" s="8">
        <v>0.55975956888744105</v>
      </c>
      <c r="U309" s="8">
        <v>0</v>
      </c>
      <c r="V309" s="8">
        <v>1.9714226177824343</v>
      </c>
      <c r="W309" s="8">
        <v>0</v>
      </c>
      <c r="X309" s="8">
        <v>5852.2467817746501</v>
      </c>
      <c r="Y309" s="8">
        <v>3498.5735265377202</v>
      </c>
      <c r="Z309" s="8"/>
    </row>
    <row r="310" spans="1:26" x14ac:dyDescent="0.2">
      <c r="A310" s="6" t="str">
        <f t="shared" si="55"/>
        <v>12- WA Space/ Water Electrification&amp;2026</v>
      </c>
      <c r="B310" s="6" t="str">
        <f>'Scenario List'!$A$14</f>
        <v>12- WA Space/ Water Electrification</v>
      </c>
      <c r="C310" s="6">
        <v>2026</v>
      </c>
      <c r="D310" s="8">
        <v>692.33965961652052</v>
      </c>
      <c r="E310" s="8">
        <v>339.86733598501644</v>
      </c>
      <c r="F310" s="8">
        <v>1032.2069956015371</v>
      </c>
      <c r="G310" s="8">
        <v>313.50857258769327</v>
      </c>
      <c r="H310" s="8">
        <v>129.45249862486753</v>
      </c>
      <c r="I310" s="8">
        <v>442.9610712125608</v>
      </c>
      <c r="J310" s="12">
        <v>0.11880107638847155</v>
      </c>
      <c r="K310" s="12">
        <v>0.11029195566338609</v>
      </c>
      <c r="L310" s="8">
        <v>13.568188124071563</v>
      </c>
      <c r="M310" s="8">
        <v>7.2006185096423927</v>
      </c>
      <c r="N310" s="8">
        <v>23.423842432486907</v>
      </c>
      <c r="O310" s="8">
        <v>12.568305794123759</v>
      </c>
      <c r="P310" s="15">
        <v>1.357664703805691</v>
      </c>
      <c r="Q310" s="15">
        <v>1.4922093815351607</v>
      </c>
      <c r="R310" s="8">
        <v>1.4307627098382938</v>
      </c>
      <c r="S310" s="8">
        <v>0</v>
      </c>
      <c r="T310" s="8">
        <v>1.5898481240728632</v>
      </c>
      <c r="U310" s="8">
        <v>0</v>
      </c>
      <c r="V310" s="8">
        <v>2.9826784510598912</v>
      </c>
      <c r="W310" s="8">
        <v>0</v>
      </c>
      <c r="X310" s="8">
        <v>5827.7221104682276</v>
      </c>
      <c r="Y310" s="8">
        <v>3473.883204736369</v>
      </c>
      <c r="Z310" s="8"/>
    </row>
    <row r="311" spans="1:26" x14ac:dyDescent="0.2">
      <c r="A311" s="6" t="str">
        <f t="shared" si="55"/>
        <v>12- WA Space/ Water Electrification&amp;2027</v>
      </c>
      <c r="B311" s="6" t="str">
        <f>'Scenario List'!$A$14</f>
        <v>12- WA Space/ Water Electrification</v>
      </c>
      <c r="C311" s="6">
        <v>2027</v>
      </c>
      <c r="D311" s="8">
        <v>712.52974544472795</v>
      </c>
      <c r="E311" s="8">
        <v>344.10913986433638</v>
      </c>
      <c r="F311" s="8">
        <v>1056.6388853090643</v>
      </c>
      <c r="G311" s="8">
        <v>311.74152118242387</v>
      </c>
      <c r="H311" s="8">
        <v>125.39827577691392</v>
      </c>
      <c r="I311" s="8">
        <v>437.13979695933779</v>
      </c>
      <c r="J311" s="12">
        <v>0.12120688818831954</v>
      </c>
      <c r="K311" s="12">
        <v>0.11089514332790078</v>
      </c>
      <c r="L311" s="8">
        <v>11.236335461203874</v>
      </c>
      <c r="M311" s="8">
        <v>6.0326906024968245</v>
      </c>
      <c r="N311" s="8">
        <v>16.606200254662497</v>
      </c>
      <c r="O311" s="8">
        <v>8.800218487179464</v>
      </c>
      <c r="P311" s="15">
        <v>1.5322265533849992</v>
      </c>
      <c r="Q311" s="15">
        <v>1.4329042999731518</v>
      </c>
      <c r="R311" s="8">
        <v>3.1283509710090698</v>
      </c>
      <c r="S311" s="8">
        <v>0</v>
      </c>
      <c r="T311" s="8">
        <v>3.3425748974627796</v>
      </c>
      <c r="U311" s="8">
        <v>0</v>
      </c>
      <c r="V311" s="8">
        <v>4.0266198386112562</v>
      </c>
      <c r="W311" s="8">
        <v>0</v>
      </c>
      <c r="X311" s="8">
        <v>5878.6241945067359</v>
      </c>
      <c r="Y311" s="8">
        <v>3494.2905589876045</v>
      </c>
      <c r="Z311" s="8"/>
    </row>
    <row r="312" spans="1:26" x14ac:dyDescent="0.2">
      <c r="A312" s="6" t="str">
        <f t="shared" si="55"/>
        <v>12- WA Space/ Water Electrification&amp;2028</v>
      </c>
      <c r="B312" s="6" t="str">
        <f>'Scenario List'!$A$14</f>
        <v>12- WA Space/ Water Electrification</v>
      </c>
      <c r="C312" s="6">
        <v>2028</v>
      </c>
      <c r="D312" s="8">
        <v>740.3452432363074</v>
      </c>
      <c r="E312" s="8">
        <v>352.92213262464821</v>
      </c>
      <c r="F312" s="8">
        <v>1093.2673758609556</v>
      </c>
      <c r="G312" s="8">
        <v>318.36853396014527</v>
      </c>
      <c r="H312" s="8">
        <v>125.57158498391404</v>
      </c>
      <c r="I312" s="8">
        <v>443.94011894405929</v>
      </c>
      <c r="J312" s="12">
        <v>0.12463309629575571</v>
      </c>
      <c r="K312" s="12">
        <v>0.11298689309636339</v>
      </c>
      <c r="L312" s="8">
        <v>13.68355246087776</v>
      </c>
      <c r="M312" s="8">
        <v>7.2981369434182763</v>
      </c>
      <c r="N312" s="8">
        <v>26.234087975281113</v>
      </c>
      <c r="O312" s="8">
        <v>14.112688401239708</v>
      </c>
      <c r="P312" s="15">
        <v>1.5730832543333051</v>
      </c>
      <c r="Q312" s="15">
        <v>1.4184150619134281</v>
      </c>
      <c r="R312" s="8">
        <v>3.7086057963520349</v>
      </c>
      <c r="S312" s="8">
        <v>0</v>
      </c>
      <c r="T312" s="8">
        <v>3.9784722455761088</v>
      </c>
      <c r="U312" s="8">
        <v>0</v>
      </c>
      <c r="V312" s="8">
        <v>5.0761915758614151</v>
      </c>
      <c r="W312" s="8">
        <v>0</v>
      </c>
      <c r="X312" s="8">
        <v>5940.1977904766163</v>
      </c>
      <c r="Y312" s="8">
        <v>3513.1203344605487</v>
      </c>
      <c r="Z312" s="8"/>
    </row>
    <row r="313" spans="1:26" x14ac:dyDescent="0.2">
      <c r="A313" s="6" t="str">
        <f t="shared" si="55"/>
        <v>12- WA Space/ Water Electrification&amp;2029</v>
      </c>
      <c r="B313" s="6" t="str">
        <f>'Scenario List'!$A$14</f>
        <v>12- WA Space/ Water Electrification</v>
      </c>
      <c r="C313" s="6">
        <v>2029</v>
      </c>
      <c r="D313" s="8">
        <v>766.77031815823807</v>
      </c>
      <c r="E313" s="8">
        <v>363.76344352871416</v>
      </c>
      <c r="F313" s="8">
        <v>1130.5337616869522</v>
      </c>
      <c r="G313" s="8">
        <v>321.48438965832929</v>
      </c>
      <c r="H313" s="8">
        <v>127.41812196516761</v>
      </c>
      <c r="I313" s="8">
        <v>448.90251162349693</v>
      </c>
      <c r="J313" s="12">
        <v>0.12769470151782195</v>
      </c>
      <c r="K313" s="12">
        <v>0.1155999045810889</v>
      </c>
      <c r="L313" s="8">
        <v>15.470645639006564</v>
      </c>
      <c r="M313" s="8">
        <v>8.1968604580326758</v>
      </c>
      <c r="N313" s="8">
        <v>25.222483527171732</v>
      </c>
      <c r="O313" s="8">
        <v>13.304041599242325</v>
      </c>
      <c r="P313" s="15">
        <v>1.5493563255571572</v>
      </c>
      <c r="Q313" s="15">
        <v>1.3845054987276737</v>
      </c>
      <c r="R313" s="8">
        <v>3.8710158394504677</v>
      </c>
      <c r="S313" s="8">
        <v>0</v>
      </c>
      <c r="T313" s="8">
        <v>4.1990773511035107</v>
      </c>
      <c r="U313" s="8">
        <v>0</v>
      </c>
      <c r="V313" s="8">
        <v>6.2330758716274612</v>
      </c>
      <c r="W313" s="8">
        <v>0</v>
      </c>
      <c r="X313" s="8">
        <v>6004.7152234521045</v>
      </c>
      <c r="Y313" s="8">
        <v>3534.1535570166975</v>
      </c>
      <c r="Z313" s="8"/>
    </row>
    <row r="314" spans="1:26" x14ac:dyDescent="0.2">
      <c r="A314" s="6" t="str">
        <f t="shared" si="55"/>
        <v>12- WA Space/ Water Electrification&amp;2030</v>
      </c>
      <c r="B314" s="6" t="str">
        <f>'Scenario List'!$A$14</f>
        <v>12- WA Space/ Water Electrification</v>
      </c>
      <c r="C314" s="6">
        <v>2030</v>
      </c>
      <c r="D314" s="8">
        <v>796.21856827472379</v>
      </c>
      <c r="E314" s="8">
        <v>375.17295108647795</v>
      </c>
      <c r="F314" s="8">
        <v>1171.3915193612017</v>
      </c>
      <c r="G314" s="8">
        <v>330.86338553242075</v>
      </c>
      <c r="H314" s="8">
        <v>129.70573875279214</v>
      </c>
      <c r="I314" s="8">
        <v>460.56912428521287</v>
      </c>
      <c r="J314" s="12">
        <v>0.13094044938916483</v>
      </c>
      <c r="K314" s="12">
        <v>0.11864619311180785</v>
      </c>
      <c r="L314" s="8">
        <v>12.842726922716396</v>
      </c>
      <c r="M314" s="8">
        <v>9.0415191858302855</v>
      </c>
      <c r="N314" s="8">
        <v>22.32717323654245</v>
      </c>
      <c r="O314" s="8">
        <v>16.527526520937371</v>
      </c>
      <c r="P314" s="15">
        <v>1.4374771608559151</v>
      </c>
      <c r="Q314" s="15">
        <v>1.4482233725931652</v>
      </c>
      <c r="R314" s="8">
        <v>36.450332924712136</v>
      </c>
      <c r="S314" s="8">
        <v>0</v>
      </c>
      <c r="T314" s="8">
        <v>35.55267866169379</v>
      </c>
      <c r="U314" s="8">
        <v>0</v>
      </c>
      <c r="V314" s="8">
        <v>752.26298410679226</v>
      </c>
      <c r="W314" s="8">
        <v>0</v>
      </c>
      <c r="X314" s="8">
        <v>6080.7685630305314</v>
      </c>
      <c r="Y314" s="8">
        <v>3553.3770101754935</v>
      </c>
      <c r="Z314" s="8"/>
    </row>
    <row r="315" spans="1:26" x14ac:dyDescent="0.2">
      <c r="A315" s="6" t="str">
        <f t="shared" si="55"/>
        <v>12- WA Space/ Water Electrification&amp;2031</v>
      </c>
      <c r="B315" s="6" t="str">
        <f>'Scenario List'!$A$14</f>
        <v>12- WA Space/ Water Electrification</v>
      </c>
      <c r="C315" s="6">
        <v>2031</v>
      </c>
      <c r="D315" s="8">
        <v>839.86669452326942</v>
      </c>
      <c r="E315" s="8">
        <v>389.5058528926703</v>
      </c>
      <c r="F315" s="8">
        <v>1229.3725474159396</v>
      </c>
      <c r="G315" s="8">
        <v>341.74298436728412</v>
      </c>
      <c r="H315" s="8">
        <v>134.42638205447656</v>
      </c>
      <c r="I315" s="8">
        <v>476.16936642176069</v>
      </c>
      <c r="J315" s="12">
        <v>0.1358265310712076</v>
      </c>
      <c r="K315" s="12">
        <v>0.12227712069103143</v>
      </c>
      <c r="L315" s="8">
        <v>9.7698442081085446</v>
      </c>
      <c r="M315" s="8">
        <v>8.3111473890898964</v>
      </c>
      <c r="N315" s="8">
        <v>16.057017331839361</v>
      </c>
      <c r="O315" s="8">
        <v>14.621977546298993</v>
      </c>
      <c r="P315" s="15">
        <v>1.2686970749474236</v>
      </c>
      <c r="Q315" s="15">
        <v>1.3178533229172604</v>
      </c>
      <c r="R315" s="8">
        <v>79.966693631910658</v>
      </c>
      <c r="S315" s="8">
        <v>0</v>
      </c>
      <c r="T315" s="8">
        <v>73.562872117092809</v>
      </c>
      <c r="U315" s="8">
        <v>0</v>
      </c>
      <c r="V315" s="8">
        <v>1325.9099776348153</v>
      </c>
      <c r="W315" s="8">
        <v>0</v>
      </c>
      <c r="X315" s="8">
        <v>6183.377340933238</v>
      </c>
      <c r="Y315" s="8">
        <v>3576.6653970268881</v>
      </c>
      <c r="Z315" s="8"/>
    </row>
    <row r="316" spans="1:26" x14ac:dyDescent="0.2">
      <c r="A316" s="6" t="str">
        <f t="shared" si="55"/>
        <v>12- WA Space/ Water Electrification&amp;2032</v>
      </c>
      <c r="B316" s="6" t="str">
        <f>'Scenario List'!$A$14</f>
        <v>12- WA Space/ Water Electrification</v>
      </c>
      <c r="C316" s="6">
        <v>2032</v>
      </c>
      <c r="D316" s="8">
        <v>932.25930055823972</v>
      </c>
      <c r="E316" s="8">
        <v>401.94408110414946</v>
      </c>
      <c r="F316" s="8">
        <v>1334.2033816623891</v>
      </c>
      <c r="G316" s="8">
        <v>401.03356418998652</v>
      </c>
      <c r="H316" s="8">
        <v>136.9406758455535</v>
      </c>
      <c r="I316" s="8">
        <v>537.97424003553999</v>
      </c>
      <c r="J316" s="12">
        <v>0.14777642821266262</v>
      </c>
      <c r="K316" s="12">
        <v>0.12527738552007422</v>
      </c>
      <c r="L316" s="8">
        <v>10.086970575698597</v>
      </c>
      <c r="M316" s="8">
        <v>9.0363723919616845</v>
      </c>
      <c r="N316" s="8">
        <v>15.862063722943972</v>
      </c>
      <c r="O316" s="8">
        <v>17.947040225303596</v>
      </c>
      <c r="P316" s="15">
        <v>1.2390516423901912</v>
      </c>
      <c r="Q316" s="15">
        <v>1.2400831169937785</v>
      </c>
      <c r="R316" s="8">
        <v>356.57340509190539</v>
      </c>
      <c r="S316" s="8">
        <v>0</v>
      </c>
      <c r="T316" s="8">
        <v>358.82642469900946</v>
      </c>
      <c r="U316" s="8">
        <v>0</v>
      </c>
      <c r="V316" s="8">
        <v>1044.3270878805743</v>
      </c>
      <c r="W316" s="8">
        <v>0</v>
      </c>
      <c r="X316" s="8">
        <v>6308.5791951652855</v>
      </c>
      <c r="Y316" s="8">
        <v>3600.3757130501399</v>
      </c>
      <c r="Z316" s="8"/>
    </row>
    <row r="317" spans="1:26" x14ac:dyDescent="0.2">
      <c r="A317" s="6" t="str">
        <f t="shared" si="55"/>
        <v>12- WA Space/ Water Electrification&amp;2033</v>
      </c>
      <c r="B317" s="6" t="str">
        <f>'Scenario List'!$A$14</f>
        <v>12- WA Space/ Water Electrification</v>
      </c>
      <c r="C317" s="6">
        <v>2033</v>
      </c>
      <c r="D317" s="8">
        <v>959.98860956330373</v>
      </c>
      <c r="E317" s="8">
        <v>413.63966569885588</v>
      </c>
      <c r="F317" s="8">
        <v>1373.6282752621596</v>
      </c>
      <c r="G317" s="8">
        <v>402.41595712939903</v>
      </c>
      <c r="H317" s="8">
        <v>138.21887641441597</v>
      </c>
      <c r="I317" s="8">
        <v>540.63483354381503</v>
      </c>
      <c r="J317" s="12">
        <v>0.14900268375008541</v>
      </c>
      <c r="K317" s="12">
        <v>0.1278296490557051</v>
      </c>
      <c r="L317" s="8">
        <v>10.757839956260371</v>
      </c>
      <c r="M317" s="8">
        <v>8.9897320842362181</v>
      </c>
      <c r="N317" s="8">
        <v>16.61594125942581</v>
      </c>
      <c r="O317" s="8">
        <v>16.286604907052123</v>
      </c>
      <c r="P317" s="15">
        <v>1.2271939938344865</v>
      </c>
      <c r="Q317" s="15">
        <v>1.2104176768359198</v>
      </c>
      <c r="R317" s="8">
        <v>355.63765318039088</v>
      </c>
      <c r="S317" s="8">
        <v>0</v>
      </c>
      <c r="T317" s="8">
        <v>357.93941433570967</v>
      </c>
      <c r="U317" s="8">
        <v>0</v>
      </c>
      <c r="V317" s="8">
        <v>1005.7640882221406</v>
      </c>
      <c r="W317" s="8">
        <v>0</v>
      </c>
      <c r="X317" s="8">
        <v>6442.7605288871418</v>
      </c>
      <c r="Y317" s="8">
        <v>3626.2766805851775</v>
      </c>
      <c r="Z317" s="8"/>
    </row>
    <row r="318" spans="1:26" x14ac:dyDescent="0.2">
      <c r="A318" s="6" t="str">
        <f t="shared" si="55"/>
        <v>12- WA Space/ Water Electrification&amp;2034</v>
      </c>
      <c r="B318" s="6" t="str">
        <f>'Scenario List'!$A$14</f>
        <v>12- WA Space/ Water Electrification</v>
      </c>
      <c r="C318" s="6">
        <v>2034</v>
      </c>
      <c r="D318" s="8">
        <v>976.98950860022137</v>
      </c>
      <c r="E318" s="8">
        <v>426.18675581693617</v>
      </c>
      <c r="F318" s="8">
        <v>1403.1762644171577</v>
      </c>
      <c r="G318" s="8">
        <v>392.72750398808364</v>
      </c>
      <c r="H318" s="8">
        <v>139.92891960333588</v>
      </c>
      <c r="I318" s="8">
        <v>532.65642359141953</v>
      </c>
      <c r="J318" s="12">
        <v>0.14802660863294737</v>
      </c>
      <c r="K318" s="12">
        <v>0.13059051855269818</v>
      </c>
      <c r="L318" s="8">
        <v>10.563673779661555</v>
      </c>
      <c r="M318" s="8">
        <v>10.47943712498691</v>
      </c>
      <c r="N318" s="8">
        <v>18.054560630637624</v>
      </c>
      <c r="O318" s="8">
        <v>19.045359848304514</v>
      </c>
      <c r="P318" s="15">
        <v>1.3748112076584642</v>
      </c>
      <c r="Q318" s="15">
        <v>1.2890474772036156</v>
      </c>
      <c r="R318" s="8">
        <v>354.60490826483277</v>
      </c>
      <c r="S318" s="8">
        <v>88.639935773017442</v>
      </c>
      <c r="T318" s="8">
        <v>356.89889343006803</v>
      </c>
      <c r="U318" s="8">
        <v>83.611431116219379</v>
      </c>
      <c r="V318" s="8">
        <v>1012.2834682966851</v>
      </c>
      <c r="W318" s="8">
        <v>197.01426470542464</v>
      </c>
      <c r="X318" s="8">
        <v>6600.0938454437146</v>
      </c>
      <c r="Y318" s="8">
        <v>3653.0058982777837</v>
      </c>
      <c r="Z318" s="8"/>
    </row>
    <row r="319" spans="1:26" x14ac:dyDescent="0.2">
      <c r="A319" s="6" t="str">
        <f t="shared" si="55"/>
        <v>12- WA Space/ Water Electrification&amp;2035</v>
      </c>
      <c r="B319" s="6" t="str">
        <f>'Scenario List'!$A$14</f>
        <v>12- WA Space/ Water Electrification</v>
      </c>
      <c r="C319" s="6">
        <v>2035</v>
      </c>
      <c r="D319" s="8">
        <v>1033.3866797676772</v>
      </c>
      <c r="E319" s="8">
        <v>443.25254506394606</v>
      </c>
      <c r="F319" s="8">
        <v>1476.6392248316233</v>
      </c>
      <c r="G319" s="8">
        <v>423.60907144584593</v>
      </c>
      <c r="H319" s="8">
        <v>145.89168515861596</v>
      </c>
      <c r="I319" s="8">
        <v>569.50075660446191</v>
      </c>
      <c r="J319" s="12">
        <v>0.15243099164610879</v>
      </c>
      <c r="K319" s="12">
        <v>0.13474331044242477</v>
      </c>
      <c r="L319" s="8">
        <v>11.909541176259378</v>
      </c>
      <c r="M319" s="8">
        <v>11.249874885965566</v>
      </c>
      <c r="N319" s="8">
        <v>21.141248580758429</v>
      </c>
      <c r="O319" s="8">
        <v>21.383783280010476</v>
      </c>
      <c r="P319" s="15">
        <v>1.4011750786643444</v>
      </c>
      <c r="Q319" s="15">
        <v>1.2948038046478365</v>
      </c>
      <c r="R319" s="8">
        <v>453.25464562641224</v>
      </c>
      <c r="S319" s="8">
        <v>88.639935773017442</v>
      </c>
      <c r="T319" s="8">
        <v>449.89098019079665</v>
      </c>
      <c r="U319" s="8">
        <v>83.611431116219379</v>
      </c>
      <c r="V319" s="8">
        <v>988.24617575992079</v>
      </c>
      <c r="W319" s="8">
        <v>200.32314278814883</v>
      </c>
      <c r="X319" s="8">
        <v>6779.3738570358319</v>
      </c>
      <c r="Y319" s="8">
        <v>3680.9396225850005</v>
      </c>
      <c r="Z319" s="8"/>
    </row>
    <row r="320" spans="1:26" x14ac:dyDescent="0.2">
      <c r="A320" s="6" t="str">
        <f t="shared" si="55"/>
        <v>12- WA Space/ Water Electrification&amp;2036</v>
      </c>
      <c r="B320" s="6" t="str">
        <f>'Scenario List'!$A$14</f>
        <v>12- WA Space/ Water Electrification</v>
      </c>
      <c r="C320" s="6">
        <v>2036</v>
      </c>
      <c r="D320" s="8">
        <v>1102.0163562666592</v>
      </c>
      <c r="E320" s="8">
        <v>460.86435764259727</v>
      </c>
      <c r="F320" s="8">
        <v>1562.8807139092564</v>
      </c>
      <c r="G320" s="8">
        <v>463.30740622689183</v>
      </c>
      <c r="H320" s="8">
        <v>151.93710498714628</v>
      </c>
      <c r="I320" s="8">
        <v>615.24451121403808</v>
      </c>
      <c r="J320" s="12">
        <v>0.15772249253185519</v>
      </c>
      <c r="K320" s="12">
        <v>0.13891362113790406</v>
      </c>
      <c r="L320" s="8">
        <v>12.578312845154294</v>
      </c>
      <c r="M320" s="8">
        <v>11.547744426982728</v>
      </c>
      <c r="N320" s="8">
        <v>21.770815121492262</v>
      </c>
      <c r="O320" s="8">
        <v>20.238562716052016</v>
      </c>
      <c r="P320" s="15">
        <v>1.4252174435406848</v>
      </c>
      <c r="Q320" s="15">
        <v>1.2733828296562484</v>
      </c>
      <c r="R320" s="8">
        <v>603.8738674391883</v>
      </c>
      <c r="S320" s="8">
        <v>88.639935773017442</v>
      </c>
      <c r="T320" s="8">
        <v>591.93009179670332</v>
      </c>
      <c r="U320" s="8">
        <v>83.625170199981127</v>
      </c>
      <c r="V320" s="8">
        <v>970.89059646418536</v>
      </c>
      <c r="W320" s="8">
        <v>206.21154431611836</v>
      </c>
      <c r="X320" s="8">
        <v>6987.0589703246351</v>
      </c>
      <c r="Y320" s="8">
        <v>3709.8471681649007</v>
      </c>
      <c r="Z320" s="8"/>
    </row>
    <row r="321" spans="1:26" x14ac:dyDescent="0.2">
      <c r="A321" s="6" t="str">
        <f t="shared" si="55"/>
        <v>12- WA Space/ Water Electrification&amp;2037</v>
      </c>
      <c r="B321" s="6" t="str">
        <f>'Scenario List'!$A$14</f>
        <v>12- WA Space/ Water Electrification</v>
      </c>
      <c r="C321" s="6">
        <v>2037</v>
      </c>
      <c r="D321" s="8">
        <v>1161.2846487040497</v>
      </c>
      <c r="E321" s="8">
        <v>478.33492118372163</v>
      </c>
      <c r="F321" s="8">
        <v>1639.6195698877714</v>
      </c>
      <c r="G321" s="8">
        <v>494.16786600424024</v>
      </c>
      <c r="H321" s="8">
        <v>157.3319980481842</v>
      </c>
      <c r="I321" s="8">
        <v>651.49986405242441</v>
      </c>
      <c r="J321" s="12">
        <v>0.16168660178128871</v>
      </c>
      <c r="K321" s="12">
        <v>0.14281174791870049</v>
      </c>
      <c r="L321" s="8">
        <v>15.060581745819432</v>
      </c>
      <c r="M321" s="8">
        <v>12.447476810160545</v>
      </c>
      <c r="N321" s="8">
        <v>23.392150601908597</v>
      </c>
      <c r="O321" s="8">
        <v>22.722982864085097</v>
      </c>
      <c r="P321" s="15">
        <v>1.4432678231782967</v>
      </c>
      <c r="Q321" s="15">
        <v>1.2421077096966198</v>
      </c>
      <c r="R321" s="8">
        <v>700.94519775871163</v>
      </c>
      <c r="S321" s="8">
        <v>88.639935773017442</v>
      </c>
      <c r="T321" s="8">
        <v>683.4042979378022</v>
      </c>
      <c r="U321" s="8">
        <v>83.611431116219379</v>
      </c>
      <c r="V321" s="8">
        <v>943.96229321309488</v>
      </c>
      <c r="W321" s="8">
        <v>198.15815398900111</v>
      </c>
      <c r="X321" s="8">
        <v>7182.3183610161086</v>
      </c>
      <c r="Y321" s="8">
        <v>3741.1207130752923</v>
      </c>
      <c r="Z321" s="8"/>
    </row>
    <row r="322" spans="1:26" x14ac:dyDescent="0.2">
      <c r="A322" s="6" t="str">
        <f t="shared" si="55"/>
        <v>12- WA Space/ Water Electrification&amp;2038</v>
      </c>
      <c r="B322" s="6" t="str">
        <f>'Scenario List'!$A$14</f>
        <v>12- WA Space/ Water Electrification</v>
      </c>
      <c r="C322" s="6">
        <v>2038</v>
      </c>
      <c r="D322" s="8">
        <v>1225.2371241518119</v>
      </c>
      <c r="E322" s="8">
        <v>493.66977529378426</v>
      </c>
      <c r="F322" s="8">
        <v>1718.9068994455961</v>
      </c>
      <c r="G322" s="8">
        <v>525.32233325746313</v>
      </c>
      <c r="H322" s="8">
        <v>160.48178453857159</v>
      </c>
      <c r="I322" s="8">
        <v>685.80411779603469</v>
      </c>
      <c r="J322" s="12">
        <v>0.16594008307547956</v>
      </c>
      <c r="K322" s="12">
        <v>0.14594388090869409</v>
      </c>
      <c r="L322" s="8">
        <v>18.422522952886965</v>
      </c>
      <c r="M322" s="8">
        <v>14.501438711755089</v>
      </c>
      <c r="N322" s="8">
        <v>32.99954195798756</v>
      </c>
      <c r="O322" s="8">
        <v>27.413044063432039</v>
      </c>
      <c r="P322" s="15">
        <v>1.1447316395903193</v>
      </c>
      <c r="Q322" s="15">
        <v>1.1923619363549194</v>
      </c>
      <c r="R322" s="8">
        <v>805.82814609535035</v>
      </c>
      <c r="S322" s="8">
        <v>88.639935773017442</v>
      </c>
      <c r="T322" s="8">
        <v>782.27916331483755</v>
      </c>
      <c r="U322" s="8">
        <v>83.611431116219379</v>
      </c>
      <c r="V322" s="8">
        <v>904.08352476523044</v>
      </c>
      <c r="W322" s="8">
        <v>199.16876139122715</v>
      </c>
      <c r="X322" s="8">
        <v>7383.6116111530464</v>
      </c>
      <c r="Y322" s="8">
        <v>3773.770902863384</v>
      </c>
      <c r="Z322" s="8"/>
    </row>
    <row r="323" spans="1:26" x14ac:dyDescent="0.2">
      <c r="A323" s="6" t="str">
        <f t="shared" si="55"/>
        <v>12- WA Space/ Water Electrification&amp;2039</v>
      </c>
      <c r="B323" s="6" t="str">
        <f>'Scenario List'!$A$14</f>
        <v>12- WA Space/ Water Electrification</v>
      </c>
      <c r="C323" s="6">
        <v>2039</v>
      </c>
      <c r="D323" s="8">
        <v>1303.6053249912354</v>
      </c>
      <c r="E323" s="8">
        <v>515.78017560020839</v>
      </c>
      <c r="F323" s="8">
        <v>1819.3855005914438</v>
      </c>
      <c r="G323" s="8">
        <v>573.83909388603149</v>
      </c>
      <c r="H323" s="8">
        <v>169.66093752061883</v>
      </c>
      <c r="I323" s="8">
        <v>743.50003140665035</v>
      </c>
      <c r="J323" s="12">
        <v>0.17180325556811732</v>
      </c>
      <c r="K323" s="12">
        <v>0.15097526325906815</v>
      </c>
      <c r="L323" s="8">
        <v>18.413863158843441</v>
      </c>
      <c r="M323" s="8">
        <v>14.506835139333807</v>
      </c>
      <c r="N323" s="8">
        <v>33.885438844553846</v>
      </c>
      <c r="O323" s="8">
        <v>26.640451483588663</v>
      </c>
      <c r="P323" s="15">
        <v>1.2996396341926082</v>
      </c>
      <c r="Q323" s="15">
        <v>1.1781682741152939</v>
      </c>
      <c r="R323" s="8">
        <v>910.91259309849852</v>
      </c>
      <c r="S323" s="8">
        <v>88.639935773017442</v>
      </c>
      <c r="T323" s="8">
        <v>887.35860550116979</v>
      </c>
      <c r="U323" s="8">
        <v>83.611431116219379</v>
      </c>
      <c r="V323" s="8">
        <v>341.15624736826157</v>
      </c>
      <c r="W323" s="8">
        <v>197.95948688340147</v>
      </c>
      <c r="X323" s="8">
        <v>7587.7801074286172</v>
      </c>
      <c r="Y323" s="8">
        <v>3808.0647671554816</v>
      </c>
      <c r="Z323" s="8"/>
    </row>
    <row r="324" spans="1:26" x14ac:dyDescent="0.2">
      <c r="A324" s="6" t="str">
        <f t="shared" si="55"/>
        <v>12- WA Space/ Water Electrification&amp;2040</v>
      </c>
      <c r="B324" s="6" t="str">
        <f>'Scenario List'!$A$14</f>
        <v>12- WA Space/ Water Electrification</v>
      </c>
      <c r="C324" s="6">
        <v>2040</v>
      </c>
      <c r="D324" s="8">
        <v>1366.9284516359808</v>
      </c>
      <c r="E324" s="8">
        <v>533.13250503277823</v>
      </c>
      <c r="F324" s="8">
        <v>1900.060956668759</v>
      </c>
      <c r="G324" s="8">
        <v>606.1673541880358</v>
      </c>
      <c r="H324" s="8">
        <v>173.60981821953575</v>
      </c>
      <c r="I324" s="8">
        <v>779.77717240757158</v>
      </c>
      <c r="J324" s="12">
        <v>0.17538869018478481</v>
      </c>
      <c r="K324" s="12">
        <v>0.15447758714760107</v>
      </c>
      <c r="L324" s="8">
        <v>22.629697236580132</v>
      </c>
      <c r="M324" s="8">
        <v>15.860948874708798</v>
      </c>
      <c r="N324" s="8">
        <v>41.549401081652093</v>
      </c>
      <c r="O324" s="8">
        <v>31.173278697632625</v>
      </c>
      <c r="P324" s="15">
        <v>1.5899969115425441</v>
      </c>
      <c r="Q324" s="15">
        <v>1.1630116011589602</v>
      </c>
      <c r="R324" s="8">
        <v>1041.2933963990772</v>
      </c>
      <c r="S324" s="8">
        <v>106.08393577301744</v>
      </c>
      <c r="T324" s="8">
        <v>1017.789855009525</v>
      </c>
      <c r="U324" s="8">
        <v>101.06917019998113</v>
      </c>
      <c r="V324" s="8">
        <v>-399.62190822464999</v>
      </c>
      <c r="W324" s="8">
        <v>113.29755964594986</v>
      </c>
      <c r="X324" s="8">
        <v>7793.7092191966403</v>
      </c>
      <c r="Y324" s="8">
        <v>3844.2644069655812</v>
      </c>
      <c r="Z324" s="8"/>
    </row>
    <row r="325" spans="1:26" x14ac:dyDescent="0.2">
      <c r="A325" s="6" t="str">
        <f t="shared" si="55"/>
        <v>12- WA Space/ Water Electrification&amp;2041</v>
      </c>
      <c r="B325" s="6" t="str">
        <f>'Scenario List'!$A$14</f>
        <v>12- WA Space/ Water Electrification</v>
      </c>
      <c r="C325" s="6">
        <v>2041</v>
      </c>
      <c r="D325" s="8">
        <v>1429.7746072668897</v>
      </c>
      <c r="E325" s="8">
        <v>540.38032492552679</v>
      </c>
      <c r="F325" s="8">
        <v>1970.1549321924165</v>
      </c>
      <c r="G325" s="8">
        <v>632.38098172409434</v>
      </c>
      <c r="H325" s="8">
        <v>167.12668325586714</v>
      </c>
      <c r="I325" s="8">
        <v>799.50766497996142</v>
      </c>
      <c r="J325" s="12">
        <v>0.17950630380093285</v>
      </c>
      <c r="K325" s="12">
        <v>0.15476826903242549</v>
      </c>
      <c r="L325" s="8">
        <v>23.510440169217258</v>
      </c>
      <c r="M325" s="8">
        <v>15.820231320155782</v>
      </c>
      <c r="N325" s="8">
        <v>38.966689272685819</v>
      </c>
      <c r="O325" s="8">
        <v>27.871238681812173</v>
      </c>
      <c r="P325" s="15">
        <v>1.8787402013775609</v>
      </c>
      <c r="Q325" s="15">
        <v>1.1720632951532197</v>
      </c>
      <c r="R325" s="8">
        <v>1175.6724786139678</v>
      </c>
      <c r="S325" s="8">
        <v>151.30299207301746</v>
      </c>
      <c r="T325" s="8">
        <v>1153.4547573557122</v>
      </c>
      <c r="U325" s="8">
        <v>146.27448741621942</v>
      </c>
      <c r="V325" s="8">
        <v>-635.99788039225632</v>
      </c>
      <c r="W325" s="8">
        <v>226.21509547015046</v>
      </c>
      <c r="X325" s="8">
        <v>7965.0384247924076</v>
      </c>
      <c r="Y325" s="8">
        <v>3883.4827797101493</v>
      </c>
      <c r="Z325" s="8"/>
    </row>
    <row r="326" spans="1:26" x14ac:dyDescent="0.2">
      <c r="A326" s="6" t="str">
        <f t="shared" si="55"/>
        <v>12- WA Space/ Water Electrification&amp;2042</v>
      </c>
      <c r="B326" s="6" t="str">
        <f>'Scenario List'!$A$14</f>
        <v>12- WA Space/ Water Electrification</v>
      </c>
      <c r="C326" s="6">
        <v>2042</v>
      </c>
      <c r="D326" s="8">
        <v>1588.272619537684</v>
      </c>
      <c r="E326" s="8">
        <v>594.77605645912195</v>
      </c>
      <c r="F326" s="8">
        <v>2183.0486759968062</v>
      </c>
      <c r="G326" s="8">
        <v>708.55223973797786</v>
      </c>
      <c r="H326" s="8">
        <v>206.5205996247922</v>
      </c>
      <c r="I326" s="8">
        <v>915.07283936277008</v>
      </c>
      <c r="J326" s="12">
        <v>0.19527097046161754</v>
      </c>
      <c r="K326" s="12">
        <v>0.1683278737519327</v>
      </c>
      <c r="L326" s="8">
        <v>24.117316824379998</v>
      </c>
      <c r="M326" s="8">
        <v>21.34510694531216</v>
      </c>
      <c r="N326" s="8">
        <v>39.490312248164159</v>
      </c>
      <c r="O326" s="8">
        <v>40.897752247310919</v>
      </c>
      <c r="P326" s="15">
        <v>1.3896723439541967</v>
      </c>
      <c r="Q326" s="15">
        <v>0.96301569221905692</v>
      </c>
      <c r="R326" s="8">
        <v>1460.1184895532563</v>
      </c>
      <c r="S326" s="8">
        <v>279.57604295974903</v>
      </c>
      <c r="T326" s="8">
        <v>1432.4493520952992</v>
      </c>
      <c r="U326" s="8">
        <v>267.2706644187308</v>
      </c>
      <c r="V326" s="8">
        <v>244.52060345681107</v>
      </c>
      <c r="W326" s="8">
        <v>528.83233284619803</v>
      </c>
      <c r="X326" s="8">
        <v>8133.6852875930927</v>
      </c>
      <c r="Y326" s="8">
        <v>3925.006529779811</v>
      </c>
      <c r="Z326" s="8"/>
    </row>
    <row r="327" spans="1:26" x14ac:dyDescent="0.2">
      <c r="A327" s="6" t="str">
        <f t="shared" si="55"/>
        <v>12- WA Space/ Water Electrification&amp;2043</v>
      </c>
      <c r="B327" s="6" t="str">
        <f>'Scenario List'!$A$14</f>
        <v>12- WA Space/ Water Electrification</v>
      </c>
      <c r="C327" s="6">
        <v>2043</v>
      </c>
      <c r="D327" s="8">
        <v>1691.6776536514139</v>
      </c>
      <c r="E327" s="8">
        <v>619.54578501000174</v>
      </c>
      <c r="F327" s="8">
        <v>2311.2234386614155</v>
      </c>
      <c r="G327" s="8">
        <v>775.71148319571125</v>
      </c>
      <c r="H327" s="8">
        <v>216.14381874465866</v>
      </c>
      <c r="I327" s="8">
        <v>991.85530194036994</v>
      </c>
      <c r="J327" s="12">
        <v>0.20399680386527874</v>
      </c>
      <c r="K327" s="12">
        <v>0.17316945974081413</v>
      </c>
      <c r="L327" s="8">
        <v>24.469971290423288</v>
      </c>
      <c r="M327" s="8">
        <v>21.888741095859082</v>
      </c>
      <c r="N327" s="8">
        <v>37.911450760373853</v>
      </c>
      <c r="O327" s="8">
        <v>43.185250191692248</v>
      </c>
      <c r="P327" s="15">
        <v>1.5299239910026883</v>
      </c>
      <c r="Q327" s="15">
        <v>0.96815771239158788</v>
      </c>
      <c r="R327" s="8">
        <v>1549.3595371309298</v>
      </c>
      <c r="S327" s="8">
        <v>279.57604295974903</v>
      </c>
      <c r="T327" s="8">
        <v>1528.9931489359631</v>
      </c>
      <c r="U327" s="8">
        <v>267.2706644187308</v>
      </c>
      <c r="V327" s="8">
        <v>560.88838535358991</v>
      </c>
      <c r="W327" s="8">
        <v>540.1771055402769</v>
      </c>
      <c r="X327" s="8">
        <v>8292.66744183214</v>
      </c>
      <c r="Y327" s="8">
        <v>3969.3083483185956</v>
      </c>
      <c r="Z327" s="8"/>
    </row>
    <row r="328" spans="1:26" x14ac:dyDescent="0.2">
      <c r="A328" s="6" t="str">
        <f t="shared" si="55"/>
        <v>12- WA Space/ Water Electrification&amp;2044</v>
      </c>
      <c r="B328" s="6" t="str">
        <f>'Scenario List'!$A$14</f>
        <v>12- WA Space/ Water Electrification</v>
      </c>
      <c r="C328" s="6">
        <v>2044</v>
      </c>
      <c r="D328" s="8">
        <v>1806.88319200451</v>
      </c>
      <c r="E328" s="8">
        <v>670.26300421537701</v>
      </c>
      <c r="F328" s="8">
        <v>2477.1461962198869</v>
      </c>
      <c r="G328" s="8">
        <v>860.28373349593539</v>
      </c>
      <c r="H328" s="8">
        <v>251.20251579521889</v>
      </c>
      <c r="I328" s="8">
        <v>1111.4862492911543</v>
      </c>
      <c r="J328" s="12">
        <v>0.21351911572581794</v>
      </c>
      <c r="K328" s="12">
        <v>0.18493467605914893</v>
      </c>
      <c r="L328" s="8">
        <v>31.907584529536052</v>
      </c>
      <c r="M328" s="8">
        <v>25.534179497087006</v>
      </c>
      <c r="N328" s="8">
        <v>47.039553965238902</v>
      </c>
      <c r="O328" s="8">
        <v>43.160395918614441</v>
      </c>
      <c r="P328" s="15">
        <v>1.49337439217413</v>
      </c>
      <c r="Q328" s="15">
        <v>1.0698454675215194</v>
      </c>
      <c r="R328" s="8">
        <v>1634.0361376743786</v>
      </c>
      <c r="S328" s="8">
        <v>289.2031310516337</v>
      </c>
      <c r="T328" s="8">
        <v>1620.8769063695631</v>
      </c>
      <c r="U328" s="8">
        <v>276.93137376345982</v>
      </c>
      <c r="V328" s="8">
        <v>1209.3993896427589</v>
      </c>
      <c r="W328" s="8">
        <v>616.37993836302041</v>
      </c>
      <c r="X328" s="8">
        <v>8462.3954434353636</v>
      </c>
      <c r="Y328" s="8">
        <v>4017.312973750215</v>
      </c>
      <c r="Z328" s="8"/>
    </row>
    <row r="329" spans="1:26" x14ac:dyDescent="0.2">
      <c r="A329" s="6" t="str">
        <f t="shared" si="55"/>
        <v>12- WA Space/ Water Electrification&amp;2045</v>
      </c>
      <c r="B329" s="6" t="str">
        <f>'Scenario List'!$A$14</f>
        <v>12- WA Space/ Water Electrification</v>
      </c>
      <c r="C329" s="6">
        <v>2045</v>
      </c>
      <c r="D329" s="8">
        <v>2228.4372975388483</v>
      </c>
      <c r="E329" s="8">
        <v>717.44303820699884</v>
      </c>
      <c r="F329" s="8">
        <v>2945.8803357458473</v>
      </c>
      <c r="G329" s="8">
        <v>1159.4526757545782</v>
      </c>
      <c r="H329" s="8">
        <v>281.9533665470131</v>
      </c>
      <c r="I329" s="8">
        <v>1441.4060423015912</v>
      </c>
      <c r="J329" s="12">
        <v>0.25937757140777984</v>
      </c>
      <c r="K329" s="12">
        <v>0.19506363244461991</v>
      </c>
      <c r="L329" s="8">
        <v>44.051316280201654</v>
      </c>
      <c r="M329" s="8">
        <v>22.902008576001066</v>
      </c>
      <c r="N329" s="8">
        <v>57.893531524125947</v>
      </c>
      <c r="O329" s="8">
        <v>44.313348986434931</v>
      </c>
      <c r="P329" s="15">
        <v>1.1253463829436239</v>
      </c>
      <c r="Q329" s="15">
        <v>0.52096860799196398</v>
      </c>
      <c r="R329" s="8">
        <v>2025.8743196360961</v>
      </c>
      <c r="S329" s="8">
        <v>367.1320068612963</v>
      </c>
      <c r="T329" s="8">
        <v>2010.8024451158328</v>
      </c>
      <c r="U329" s="8">
        <v>354.82662832027808</v>
      </c>
      <c r="V329" s="8">
        <v>1956.1030430098599</v>
      </c>
      <c r="W329" s="8">
        <v>185.31261237206385</v>
      </c>
      <c r="X329" s="8">
        <v>8591.480309742803</v>
      </c>
      <c r="Y329" s="8">
        <v>4069.7852174568761</v>
      </c>
      <c r="Z329" s="8"/>
    </row>
    <row r="330" spans="1:26" x14ac:dyDescent="0.2">
      <c r="A330" s="6" t="str">
        <f t="shared" si="55"/>
        <v>12- WA Space/ Water Electrification&amp;NPV</v>
      </c>
      <c r="B330" s="6" t="str">
        <f>'Scenario List'!$A$14</f>
        <v>12- WA Space/ Water Electrification</v>
      </c>
      <c r="C330" s="3" t="s">
        <v>6</v>
      </c>
      <c r="D330" s="16">
        <f t="shared" ref="D330:E330" si="56">NPV($B$1,D306:D329)</f>
        <v>11199.849484723039</v>
      </c>
      <c r="E330" s="16">
        <f t="shared" si="56"/>
        <v>4843.6338828557036</v>
      </c>
      <c r="F330" s="16">
        <f>NPV($B$1,F306:F329)</f>
        <v>16043.483367578745</v>
      </c>
      <c r="G330" s="16">
        <f t="shared" ref="G330:I330" si="57">NPV($B$1,G306:G329)</f>
        <v>5224.3750165904275</v>
      </c>
      <c r="H330" s="16">
        <f t="shared" si="57"/>
        <v>1713.2694876166586</v>
      </c>
      <c r="I330" s="16">
        <f t="shared" si="57"/>
        <v>6937.6445042070882</v>
      </c>
      <c r="L330" s="52">
        <f t="shared" ref="L330:Q330" si="58">NPV($B$1,L306:L329)</f>
        <v>178.58183725340169</v>
      </c>
      <c r="M330" s="52">
        <f t="shared" si="58"/>
        <v>122.90259575009877</v>
      </c>
      <c r="N330" s="52">
        <f t="shared" si="58"/>
        <v>295.46106070896468</v>
      </c>
      <c r="O330" s="52">
        <f t="shared" si="58"/>
        <v>221.47282358507749</v>
      </c>
      <c r="P330" s="52">
        <f t="shared" si="58"/>
        <v>19.28871231432289</v>
      </c>
      <c r="Q330" s="52">
        <f t="shared" si="58"/>
        <v>19.19151593012635</v>
      </c>
      <c r="X330" s="52">
        <f>-PMT($B$1,22,NPV($B$1,X308:X329))</f>
        <v>6567.3118433118052</v>
      </c>
      <c r="Y330" s="52">
        <f>-PMT($B$1,22,NPV($B$1,Y308:Y329))</f>
        <v>3634.6401962024252</v>
      </c>
      <c r="Z330" s="8"/>
    </row>
    <row r="331" spans="1:26" x14ac:dyDescent="0.2">
      <c r="A331" s="6" t="str">
        <f t="shared" si="55"/>
        <v>12- WA Space/ Water Electrification&amp;Levelized</v>
      </c>
      <c r="B331" s="6" t="str">
        <f>'Scenario List'!$A$14</f>
        <v>12- WA Space/ Water Electrification</v>
      </c>
      <c r="C331" s="3" t="s">
        <v>7</v>
      </c>
      <c r="D331" s="16">
        <f t="shared" ref="D331:I331" si="59">-PMT($B$1,COUNT(D306:D329),D330)</f>
        <v>952.38096590166595</v>
      </c>
      <c r="E331" s="16">
        <f t="shared" si="59"/>
        <v>411.87917052996227</v>
      </c>
      <c r="F331" s="16">
        <f t="shared" si="59"/>
        <v>1364.2601364316283</v>
      </c>
      <c r="G331" s="16">
        <f t="shared" si="59"/>
        <v>444.25555283754466</v>
      </c>
      <c r="H331" s="16">
        <f t="shared" si="59"/>
        <v>145.68814087116772</v>
      </c>
      <c r="I331" s="16">
        <f t="shared" si="59"/>
        <v>589.94369370871243</v>
      </c>
      <c r="L331" s="52">
        <f t="shared" ref="L331:Q331" si="60">-PMT($B$1,COUNT(L306:L329),L330)</f>
        <v>15.185734673299017</v>
      </c>
      <c r="M331" s="52">
        <f t="shared" si="60"/>
        <v>10.451041597653719</v>
      </c>
      <c r="N331" s="52">
        <f t="shared" si="60"/>
        <v>25.124577858672271</v>
      </c>
      <c r="O331" s="52">
        <f t="shared" si="60"/>
        <v>18.832976455142184</v>
      </c>
      <c r="P331" s="52">
        <f t="shared" si="60"/>
        <v>1.6402186913289993</v>
      </c>
      <c r="Q331" s="52">
        <f t="shared" si="60"/>
        <v>1.6319535814818076</v>
      </c>
      <c r="Z331" s="8"/>
    </row>
    <row r="332" spans="1:26" ht="15" x14ac:dyDescent="0.25">
      <c r="C332" s="2"/>
      <c r="D332" s="53"/>
      <c r="E332" s="53"/>
      <c r="F332" s="53"/>
      <c r="G332" s="53"/>
      <c r="H332" s="53"/>
      <c r="I332" s="53"/>
      <c r="J332" s="54"/>
      <c r="K332" s="54"/>
      <c r="L332" s="47"/>
      <c r="M332" s="47"/>
      <c r="N332" s="47"/>
      <c r="O332" s="47"/>
      <c r="P332" s="54"/>
      <c r="Q332" s="48"/>
      <c r="R332" s="47"/>
      <c r="S332" s="47"/>
      <c r="T332" s="47"/>
      <c r="U332" s="47"/>
      <c r="V332" s="49"/>
      <c r="W332" s="50"/>
      <c r="X332" s="50"/>
      <c r="Y332" s="50"/>
    </row>
    <row r="333" spans="1:26" ht="15" x14ac:dyDescent="0.25">
      <c r="C333" s="2"/>
      <c r="D333" s="53"/>
      <c r="E333" s="53"/>
      <c r="F333" s="53"/>
      <c r="G333" s="53"/>
      <c r="H333" s="53"/>
      <c r="I333" s="53"/>
      <c r="J333" s="54"/>
      <c r="K333" s="54"/>
      <c r="L333" s="47"/>
      <c r="M333" s="47"/>
      <c r="N333" s="47"/>
      <c r="O333" s="47"/>
      <c r="P333" s="54"/>
      <c r="Q333" s="48"/>
      <c r="R333" s="47"/>
      <c r="S333" s="47"/>
      <c r="T333" s="47"/>
      <c r="U333" s="47"/>
      <c r="V333" s="49"/>
      <c r="W333" s="50"/>
      <c r="X333" s="50"/>
      <c r="Y333" s="50"/>
    </row>
    <row r="334" spans="1:26" x14ac:dyDescent="0.2">
      <c r="A334" s="6" t="str">
        <f t="shared" ref="A334:A358" si="61">B334&amp;"&amp;"&amp;C334</f>
        <v>13- WA Space/ Water Electrification w/NG Backup&amp;2023</v>
      </c>
      <c r="B334" s="6" t="str">
        <f>'Scenario List'!$A$15</f>
        <v>13- WA Space/ Water Electrification w/NG Backup</v>
      </c>
      <c r="C334" s="6">
        <v>2023</v>
      </c>
      <c r="D334" s="8">
        <v>645.32921764602452</v>
      </c>
      <c r="E334" s="8">
        <v>316.37152574802883</v>
      </c>
      <c r="F334" s="8">
        <v>961.70074339405335</v>
      </c>
      <c r="G334" s="8">
        <v>411.73758355476031</v>
      </c>
      <c r="H334" s="8">
        <v>125.80670488348804</v>
      </c>
      <c r="I334" s="8">
        <v>537.54428843824837</v>
      </c>
      <c r="J334" s="12">
        <v>0.11208729703824225</v>
      </c>
      <c r="K334" s="12">
        <v>0.10241950543818508</v>
      </c>
      <c r="L334" s="8">
        <v>16.897897742380724</v>
      </c>
      <c r="M334" s="8">
        <v>9.4302105355401427</v>
      </c>
      <c r="N334" s="8">
        <v>27.75105747836642</v>
      </c>
      <c r="O334" s="8">
        <v>15.748964960286955</v>
      </c>
      <c r="P334" s="15">
        <v>2.5071495936225858</v>
      </c>
      <c r="Q334" s="15">
        <v>2.8792050200375625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5757.3804944716385</v>
      </c>
      <c r="Y334" s="8">
        <v>3474.8310887166517</v>
      </c>
    </row>
    <row r="335" spans="1:26" x14ac:dyDescent="0.2">
      <c r="A335" s="6" t="str">
        <f t="shared" si="61"/>
        <v>13- WA Space/ Water Electrification w/NG Backup&amp;2024</v>
      </c>
      <c r="B335" s="6" t="str">
        <f>'Scenario List'!$A$15</f>
        <v>13- WA Space/ Water Electrification w/NG Backup</v>
      </c>
      <c r="C335" s="6">
        <v>2024</v>
      </c>
      <c r="D335" s="8">
        <v>658.23383544073113</v>
      </c>
      <c r="E335" s="8">
        <v>322.01450783405977</v>
      </c>
      <c r="F335" s="8">
        <v>980.24834327479084</v>
      </c>
      <c r="G335" s="8">
        <v>418.33912820982562</v>
      </c>
      <c r="H335" s="8">
        <v>127.04508736999293</v>
      </c>
      <c r="I335" s="8">
        <v>545.3842155798186</v>
      </c>
      <c r="J335" s="12">
        <v>0.11340960293139046</v>
      </c>
      <c r="K335" s="12">
        <v>0.10393289116304277</v>
      </c>
      <c r="L335" s="8">
        <v>13.181849929270566</v>
      </c>
      <c r="M335" s="8">
        <v>7.2862092566526773</v>
      </c>
      <c r="N335" s="8">
        <v>22.233940279086113</v>
      </c>
      <c r="O335" s="8">
        <v>12.619011741204389</v>
      </c>
      <c r="P335" s="15">
        <v>2.4532170333492691</v>
      </c>
      <c r="Q335" s="15">
        <v>2.9672417086309277</v>
      </c>
      <c r="R335" s="8">
        <v>1.0386156820404946E-2</v>
      </c>
      <c r="S335" s="8">
        <v>0</v>
      </c>
      <c r="T335" s="8">
        <v>0.11422636326220448</v>
      </c>
      <c r="U335" s="8">
        <v>0</v>
      </c>
      <c r="V335" s="8">
        <v>0.97785526284599644</v>
      </c>
      <c r="W335" s="8">
        <v>0</v>
      </c>
      <c r="X335" s="8">
        <v>5804.0396794171265</v>
      </c>
      <c r="Y335" s="8">
        <v>3486.0528923765237</v>
      </c>
    </row>
    <row r="336" spans="1:26" x14ac:dyDescent="0.2">
      <c r="A336" s="6" t="str">
        <f t="shared" si="61"/>
        <v>13- WA Space/ Water Electrification w/NG Backup&amp;2025</v>
      </c>
      <c r="B336" s="6" t="str">
        <f>'Scenario List'!$A$15</f>
        <v>13- WA Space/ Water Electrification w/NG Backup</v>
      </c>
      <c r="C336" s="6">
        <v>2025</v>
      </c>
      <c r="D336" s="8">
        <v>682.11714662324994</v>
      </c>
      <c r="E336" s="8">
        <v>329.71729863607231</v>
      </c>
      <c r="F336" s="8">
        <v>1011.8344452593223</v>
      </c>
      <c r="G336" s="8">
        <v>413.58304978156923</v>
      </c>
      <c r="H336" s="8">
        <v>127.20640604268478</v>
      </c>
      <c r="I336" s="8">
        <v>540.78945582425399</v>
      </c>
      <c r="J336" s="12">
        <v>0.11685387162233529</v>
      </c>
      <c r="K336" s="12">
        <v>0.10612228997126234</v>
      </c>
      <c r="L336" s="8">
        <v>10.366767899006481</v>
      </c>
      <c r="M336" s="8">
        <v>5.6480696803915196</v>
      </c>
      <c r="N336" s="8">
        <v>17.659821000303083</v>
      </c>
      <c r="O336" s="8">
        <v>9.5317180188169459</v>
      </c>
      <c r="P336" s="15">
        <v>2.2677039956160607</v>
      </c>
      <c r="Q336" s="15">
        <v>2.7196586755011132</v>
      </c>
      <c r="R336" s="8">
        <v>0.45467638668177546</v>
      </c>
      <c r="S336" s="8">
        <v>0</v>
      </c>
      <c r="T336" s="8">
        <v>0.55979513843755857</v>
      </c>
      <c r="U336" s="8">
        <v>0</v>
      </c>
      <c r="V336" s="8">
        <v>1.9719789957438163</v>
      </c>
      <c r="W336" s="8">
        <v>0</v>
      </c>
      <c r="X336" s="8">
        <v>5837.3517039111175</v>
      </c>
      <c r="Y336" s="8">
        <v>3498.0120098841257</v>
      </c>
    </row>
    <row r="337" spans="1:25" x14ac:dyDescent="0.2">
      <c r="A337" s="6" t="str">
        <f t="shared" si="61"/>
        <v>13- WA Space/ Water Electrification w/NG Backup&amp;2026</v>
      </c>
      <c r="B337" s="6" t="str">
        <f>'Scenario List'!$A$15</f>
        <v>13- WA Space/ Water Electrification w/NG Backup</v>
      </c>
      <c r="C337" s="6">
        <v>2026</v>
      </c>
      <c r="D337" s="8">
        <v>691.45622841825343</v>
      </c>
      <c r="E337" s="8">
        <v>339.84198004164693</v>
      </c>
      <c r="F337" s="8">
        <v>1031.2982084599003</v>
      </c>
      <c r="G337" s="8">
        <v>312.63236217929449</v>
      </c>
      <c r="H337" s="8">
        <v>129.42070710939043</v>
      </c>
      <c r="I337" s="8">
        <v>442.05306928868492</v>
      </c>
      <c r="J337" s="12">
        <v>0.11905331445016376</v>
      </c>
      <c r="K337" s="12">
        <v>0.11031307344270994</v>
      </c>
      <c r="L337" s="8">
        <v>13.433660652122349</v>
      </c>
      <c r="M337" s="8">
        <v>7.1958976476371541</v>
      </c>
      <c r="N337" s="8">
        <v>23.226622157199614</v>
      </c>
      <c r="O337" s="8">
        <v>12.58785849092142</v>
      </c>
      <c r="P337" s="15">
        <v>1.3576652746344673</v>
      </c>
      <c r="Q337" s="15">
        <v>1.4922093815351607</v>
      </c>
      <c r="R337" s="8">
        <v>1.4307685652572906</v>
      </c>
      <c r="S337" s="8">
        <v>0</v>
      </c>
      <c r="T337" s="8">
        <v>1.5898833583136753</v>
      </c>
      <c r="U337" s="8">
        <v>0</v>
      </c>
      <c r="V337" s="8">
        <v>2.9832292720083</v>
      </c>
      <c r="W337" s="8">
        <v>0</v>
      </c>
      <c r="X337" s="8">
        <v>5807.9544581490845</v>
      </c>
      <c r="Y337" s="8">
        <v>3473.06343886778</v>
      </c>
    </row>
    <row r="338" spans="1:25" x14ac:dyDescent="0.2">
      <c r="A338" s="6" t="str">
        <f t="shared" si="61"/>
        <v>13- WA Space/ Water Electrification w/NG Backup&amp;2027</v>
      </c>
      <c r="B338" s="6" t="str">
        <f>'Scenario List'!$A$15</f>
        <v>13- WA Space/ Water Electrification w/NG Backup</v>
      </c>
      <c r="C338" s="6">
        <v>2027</v>
      </c>
      <c r="D338" s="8">
        <v>711.4455983353788</v>
      </c>
      <c r="E338" s="8">
        <v>344.0723819690312</v>
      </c>
      <c r="F338" s="8">
        <v>1055.51798030441</v>
      </c>
      <c r="G338" s="8">
        <v>310.66834007643371</v>
      </c>
      <c r="H338" s="8">
        <v>125.35262477392916</v>
      </c>
      <c r="I338" s="8">
        <v>436.02096485036287</v>
      </c>
      <c r="J338" s="12">
        <v>0.12155433703608276</v>
      </c>
      <c r="K338" s="12">
        <v>0.11092331457195127</v>
      </c>
      <c r="L338" s="8">
        <v>11.083935963475385</v>
      </c>
      <c r="M338" s="8">
        <v>6.0219982784691855</v>
      </c>
      <c r="N338" s="8">
        <v>16.29806930515258</v>
      </c>
      <c r="O338" s="8">
        <v>8.7721395202229644</v>
      </c>
      <c r="P338" s="15">
        <v>1.5322262490257548</v>
      </c>
      <c r="Q338" s="15">
        <v>1.4329042999731518</v>
      </c>
      <c r="R338" s="8">
        <v>3.1283567715785314</v>
      </c>
      <c r="S338" s="8">
        <v>0</v>
      </c>
      <c r="T338" s="8">
        <v>3.3426098016534747</v>
      </c>
      <c r="U338" s="8">
        <v>0</v>
      </c>
      <c r="V338" s="8">
        <v>4.0271668793670381</v>
      </c>
      <c r="W338" s="8">
        <v>0</v>
      </c>
      <c r="X338" s="8">
        <v>5852.9018024604911</v>
      </c>
      <c r="Y338" s="8">
        <v>3493.1711040768332</v>
      </c>
    </row>
    <row r="339" spans="1:25" x14ac:dyDescent="0.2">
      <c r="A339" s="6" t="str">
        <f t="shared" si="61"/>
        <v>13- WA Space/ Water Electrification w/NG Backup&amp;2028</v>
      </c>
      <c r="B339" s="6" t="str">
        <f>'Scenario List'!$A$15</f>
        <v>13- WA Space/ Water Electrification w/NG Backup</v>
      </c>
      <c r="C339" s="6">
        <v>2028</v>
      </c>
      <c r="D339" s="8">
        <v>738.84509360696006</v>
      </c>
      <c r="E339" s="8">
        <v>352.86351196783659</v>
      </c>
      <c r="F339" s="8">
        <v>1091.7086055747966</v>
      </c>
      <c r="G339" s="8">
        <v>316.88486259403368</v>
      </c>
      <c r="H339" s="8">
        <v>125.5010858212402</v>
      </c>
      <c r="I339" s="8">
        <v>442.3859484152739</v>
      </c>
      <c r="J339" s="12">
        <v>0.12511457923972086</v>
      </c>
      <c r="K339" s="12">
        <v>0.11302163491965342</v>
      </c>
      <c r="L339" s="8">
        <v>13.418386538310839</v>
      </c>
      <c r="M339" s="8">
        <v>7.2790989997841464</v>
      </c>
      <c r="N339" s="8">
        <v>25.729269682395483</v>
      </c>
      <c r="O339" s="8">
        <v>14.097534912356267</v>
      </c>
      <c r="P339" s="15">
        <v>1.5730829531004831</v>
      </c>
      <c r="Q339" s="15">
        <v>1.4184150619134281</v>
      </c>
      <c r="R339" s="8">
        <v>3.7086115458827735</v>
      </c>
      <c r="S339" s="8">
        <v>0</v>
      </c>
      <c r="T339" s="8">
        <v>3.9785067580370379</v>
      </c>
      <c r="U339" s="8">
        <v>0</v>
      </c>
      <c r="V339" s="8">
        <v>5.0767326069690251</v>
      </c>
      <c r="W339" s="8">
        <v>0</v>
      </c>
      <c r="X339" s="8">
        <v>5905.3477068513739</v>
      </c>
      <c r="Y339" s="8">
        <v>3511.6415107798593</v>
      </c>
    </row>
    <row r="340" spans="1:25" x14ac:dyDescent="0.2">
      <c r="A340" s="6" t="str">
        <f t="shared" si="61"/>
        <v>13- WA Space/ Water Electrification w/NG Backup&amp;2029</v>
      </c>
      <c r="B340" s="6" t="str">
        <f>'Scenario List'!$A$15</f>
        <v>13- WA Space/ Water Electrification w/NG Backup</v>
      </c>
      <c r="C340" s="6">
        <v>2029</v>
      </c>
      <c r="D340" s="8">
        <v>764.78896865089075</v>
      </c>
      <c r="E340" s="8">
        <v>363.7418498147353</v>
      </c>
      <c r="F340" s="8">
        <v>1128.530818465626</v>
      </c>
      <c r="G340" s="8">
        <v>319.52599551244379</v>
      </c>
      <c r="H340" s="8">
        <v>127.37631394882156</v>
      </c>
      <c r="I340" s="8">
        <v>446.90230946126536</v>
      </c>
      <c r="J340" s="12">
        <v>0.12830993333124183</v>
      </c>
      <c r="K340" s="12">
        <v>0.11566191097118182</v>
      </c>
      <c r="L340" s="8">
        <v>15.120151785686556</v>
      </c>
      <c r="M340" s="8">
        <v>8.1761109988016152</v>
      </c>
      <c r="N340" s="8">
        <v>24.739778096109092</v>
      </c>
      <c r="O340" s="8">
        <v>13.334456376819929</v>
      </c>
      <c r="P340" s="15">
        <v>1.5569678042280874</v>
      </c>
      <c r="Q340" s="15">
        <v>1.3845054987276737</v>
      </c>
      <c r="R340" s="8">
        <v>3.8710215337589093</v>
      </c>
      <c r="S340" s="8">
        <v>0</v>
      </c>
      <c r="T340" s="8">
        <v>4.1991116158820008</v>
      </c>
      <c r="U340" s="8">
        <v>0</v>
      </c>
      <c r="V340" s="8">
        <v>6.2336187024722252</v>
      </c>
      <c r="W340" s="8">
        <v>0</v>
      </c>
      <c r="X340" s="8">
        <v>5960.4813812546381</v>
      </c>
      <c r="Y340" s="8">
        <v>3532.2798889972191</v>
      </c>
    </row>
    <row r="341" spans="1:25" x14ac:dyDescent="0.2">
      <c r="A341" s="6" t="str">
        <f t="shared" si="61"/>
        <v>13- WA Space/ Water Electrification w/NG Backup&amp;2030</v>
      </c>
      <c r="B341" s="6" t="str">
        <f>'Scenario List'!$A$15</f>
        <v>13- WA Space/ Water Electrification w/NG Backup</v>
      </c>
      <c r="C341" s="6">
        <v>2030</v>
      </c>
      <c r="D341" s="8">
        <v>792.57062925374726</v>
      </c>
      <c r="E341" s="8">
        <v>375.1970650880188</v>
      </c>
      <c r="F341" s="8">
        <v>1167.7676943417659</v>
      </c>
      <c r="G341" s="8">
        <v>325.61485271568216</v>
      </c>
      <c r="H341" s="8">
        <v>129.71099058808494</v>
      </c>
      <c r="I341" s="8">
        <v>455.3258433037671</v>
      </c>
      <c r="J341" s="12">
        <v>0.13156771699963268</v>
      </c>
      <c r="K341" s="12">
        <v>0.11874030756882568</v>
      </c>
      <c r="L341" s="8">
        <v>12.962892280790898</v>
      </c>
      <c r="M341" s="8">
        <v>9.0186437705819582</v>
      </c>
      <c r="N341" s="8">
        <v>22.450038010100371</v>
      </c>
      <c r="O341" s="8">
        <v>16.367846360812393</v>
      </c>
      <c r="P341" s="15">
        <v>1.4533804588286479</v>
      </c>
      <c r="Q341" s="15">
        <v>1.4482233725931652</v>
      </c>
      <c r="R341" s="8">
        <v>18.108074480713693</v>
      </c>
      <c r="S341" s="8">
        <v>0</v>
      </c>
      <c r="T341" s="8">
        <v>27.228339844469403</v>
      </c>
      <c r="U341" s="8">
        <v>0</v>
      </c>
      <c r="V341" s="8">
        <v>666.52540265898858</v>
      </c>
      <c r="W341" s="8">
        <v>0</v>
      </c>
      <c r="X341" s="8">
        <v>6024.0509399122584</v>
      </c>
      <c r="Y341" s="8">
        <v>3551.0737757024085</v>
      </c>
    </row>
    <row r="342" spans="1:25" x14ac:dyDescent="0.2">
      <c r="A342" s="6" t="str">
        <f t="shared" si="61"/>
        <v>13- WA Space/ Water Electrification w/NG Backup&amp;2031</v>
      </c>
      <c r="B342" s="6" t="str">
        <f>'Scenario List'!$A$15</f>
        <v>13- WA Space/ Water Electrification w/NG Backup</v>
      </c>
      <c r="C342" s="6">
        <v>2031</v>
      </c>
      <c r="D342" s="8">
        <v>833.41818128705108</v>
      </c>
      <c r="E342" s="8">
        <v>389.47802586426241</v>
      </c>
      <c r="F342" s="8">
        <v>1222.8962071513135</v>
      </c>
      <c r="G342" s="8">
        <v>333.09876830902039</v>
      </c>
      <c r="H342" s="8">
        <v>134.37594839721947</v>
      </c>
      <c r="I342" s="8">
        <v>467.47471670623986</v>
      </c>
      <c r="J342" s="12">
        <v>0.1364156498692175</v>
      </c>
      <c r="K342" s="12">
        <v>0.122373702692081</v>
      </c>
      <c r="L342" s="8">
        <v>11.165635629531298</v>
      </c>
      <c r="M342" s="8">
        <v>8.266065853990165</v>
      </c>
      <c r="N342" s="8">
        <v>20.474992424052317</v>
      </c>
      <c r="O342" s="8">
        <v>14.416738465366933</v>
      </c>
      <c r="P342" s="15">
        <v>1.3418951198118014</v>
      </c>
      <c r="Q342" s="15">
        <v>1.3178533229172604</v>
      </c>
      <c r="R342" s="8">
        <v>36.48604869331141</v>
      </c>
      <c r="S342" s="8">
        <v>0</v>
      </c>
      <c r="T342" s="8">
        <v>45.558587172493155</v>
      </c>
      <c r="U342" s="8">
        <v>0</v>
      </c>
      <c r="V342" s="8">
        <v>824.27077830692906</v>
      </c>
      <c r="W342" s="8">
        <v>0</v>
      </c>
      <c r="X342" s="8">
        <v>6109.4030053447241</v>
      </c>
      <c r="Y342" s="8">
        <v>3573.9239359648918</v>
      </c>
    </row>
    <row r="343" spans="1:25" x14ac:dyDescent="0.2">
      <c r="A343" s="6" t="str">
        <f t="shared" si="61"/>
        <v>13- WA Space/ Water Electrification w/NG Backup&amp;2032</v>
      </c>
      <c r="B343" s="6" t="str">
        <f>'Scenario List'!$A$15</f>
        <v>13- WA Space/ Water Electrification w/NG Backup</v>
      </c>
      <c r="C343" s="6">
        <v>2032</v>
      </c>
      <c r="D343" s="8">
        <v>897.638474868495</v>
      </c>
      <c r="E343" s="8">
        <v>405.12371959722077</v>
      </c>
      <c r="F343" s="8">
        <v>1302.7621944657158</v>
      </c>
      <c r="G343" s="8">
        <v>368.76973822895212</v>
      </c>
      <c r="H343" s="8">
        <v>140.07079831702893</v>
      </c>
      <c r="I343" s="8">
        <v>508.84053654598108</v>
      </c>
      <c r="J343" s="12">
        <v>0.14448776397118354</v>
      </c>
      <c r="K343" s="12">
        <v>0.12639356694221432</v>
      </c>
      <c r="L343" s="8">
        <v>9.4651221131525016</v>
      </c>
      <c r="M343" s="8">
        <v>9.0090545928834409</v>
      </c>
      <c r="N343" s="8">
        <v>15.784690268389411</v>
      </c>
      <c r="O343" s="8">
        <v>17.812144466967254</v>
      </c>
      <c r="P343" s="15">
        <v>1.2635390806819626</v>
      </c>
      <c r="Q343" s="15">
        <v>1.2400831169937785</v>
      </c>
      <c r="R343" s="8">
        <v>224.13572284601153</v>
      </c>
      <c r="S343" s="8">
        <v>18.553552923801416</v>
      </c>
      <c r="T343" s="8">
        <v>222.13274352106063</v>
      </c>
      <c r="U343" s="8">
        <v>18.553552923801416</v>
      </c>
      <c r="V343" s="8">
        <v>1295.3248822616004</v>
      </c>
      <c r="W343" s="8">
        <v>-80.356486509568896</v>
      </c>
      <c r="X343" s="8">
        <v>6212.5570373385999</v>
      </c>
      <c r="Y343" s="8">
        <v>3597.1986948191657</v>
      </c>
    </row>
    <row r="344" spans="1:25" x14ac:dyDescent="0.2">
      <c r="A344" s="6" t="str">
        <f t="shared" si="61"/>
        <v>13- WA Space/ Water Electrification w/NG Backup&amp;2033</v>
      </c>
      <c r="B344" s="6" t="str">
        <f>'Scenario List'!$A$15</f>
        <v>13- WA Space/ Water Electrification w/NG Backup</v>
      </c>
      <c r="C344" s="6">
        <v>2033</v>
      </c>
      <c r="D344" s="8">
        <v>925.55799260128549</v>
      </c>
      <c r="E344" s="8">
        <v>416.44786782016723</v>
      </c>
      <c r="F344" s="8">
        <v>1342.0058604214528</v>
      </c>
      <c r="G344" s="8">
        <v>370.17188882029251</v>
      </c>
      <c r="H344" s="8">
        <v>140.98603968153125</v>
      </c>
      <c r="I344" s="8">
        <v>511.15792850182379</v>
      </c>
      <c r="J344" s="12">
        <v>0.14637695116552463</v>
      </c>
      <c r="K344" s="12">
        <v>0.12883936139610419</v>
      </c>
      <c r="L344" s="8">
        <v>9.9514266556357356</v>
      </c>
      <c r="M344" s="8">
        <v>8.9159642210686361</v>
      </c>
      <c r="N344" s="8">
        <v>15.491487016455238</v>
      </c>
      <c r="O344" s="8">
        <v>16.206142592060871</v>
      </c>
      <c r="P344" s="15">
        <v>1.239685465698797</v>
      </c>
      <c r="Q344" s="15">
        <v>1.2104176768359198</v>
      </c>
      <c r="R344" s="8">
        <v>223.28790059876721</v>
      </c>
      <c r="S344" s="8">
        <v>18.553552923801416</v>
      </c>
      <c r="T344" s="8">
        <v>221.38169237632249</v>
      </c>
      <c r="U344" s="8">
        <v>18.553552923801419</v>
      </c>
      <c r="V344" s="8">
        <v>1274.6103383796883</v>
      </c>
      <c r="W344" s="8">
        <v>-82.821054897936676</v>
      </c>
      <c r="X344" s="8">
        <v>6323.1129302225636</v>
      </c>
      <c r="Y344" s="8">
        <v>3622.7133897949757</v>
      </c>
    </row>
    <row r="345" spans="1:25" x14ac:dyDescent="0.2">
      <c r="A345" s="6" t="str">
        <f t="shared" si="61"/>
        <v>13- WA Space/ Water Electrification w/NG Backup&amp;2034</v>
      </c>
      <c r="B345" s="6" t="str">
        <f>'Scenario List'!$A$15</f>
        <v>13- WA Space/ Water Electrification w/NG Backup</v>
      </c>
      <c r="C345" s="6">
        <v>2034</v>
      </c>
      <c r="D345" s="8">
        <v>939.68807486737228</v>
      </c>
      <c r="E345" s="8">
        <v>419.51604200001282</v>
      </c>
      <c r="F345" s="8">
        <v>1359.204116867385</v>
      </c>
      <c r="G345" s="8">
        <v>357.63118924009945</v>
      </c>
      <c r="H345" s="8">
        <v>133.2256811307291</v>
      </c>
      <c r="I345" s="8">
        <v>490.85687037082857</v>
      </c>
      <c r="J345" s="12">
        <v>0.14562703290476486</v>
      </c>
      <c r="K345" s="12">
        <v>0.12870107835742181</v>
      </c>
      <c r="L345" s="8">
        <v>10.238899986460991</v>
      </c>
      <c r="M345" s="8">
        <v>10.353976055428218</v>
      </c>
      <c r="N345" s="8">
        <v>18.140233172776277</v>
      </c>
      <c r="O345" s="8">
        <v>19.170033215040775</v>
      </c>
      <c r="P345" s="15">
        <v>1.3384060388652137</v>
      </c>
      <c r="Q345" s="15">
        <v>1.1830499255774227</v>
      </c>
      <c r="R345" s="8">
        <v>222.34200517345477</v>
      </c>
      <c r="S345" s="8">
        <v>18.553552923801416</v>
      </c>
      <c r="T345" s="8">
        <v>220.47971401586722</v>
      </c>
      <c r="U345" s="8">
        <v>18.553552923801419</v>
      </c>
      <c r="V345" s="8">
        <v>1276.3743218175946</v>
      </c>
      <c r="W345" s="8">
        <v>-81.984364577365241</v>
      </c>
      <c r="X345" s="8">
        <v>6452.7035683127351</v>
      </c>
      <c r="Y345" s="8">
        <v>3649.0862791674012</v>
      </c>
    </row>
    <row r="346" spans="1:25" x14ac:dyDescent="0.2">
      <c r="A346" s="6" t="str">
        <f t="shared" si="61"/>
        <v>13- WA Space/ Water Electrification w/NG Backup&amp;2035</v>
      </c>
      <c r="B346" s="6" t="str">
        <f>'Scenario List'!$A$15</f>
        <v>13- WA Space/ Water Electrification w/NG Backup</v>
      </c>
      <c r="C346" s="6">
        <v>2035</v>
      </c>
      <c r="D346" s="8">
        <v>976.24888459898841</v>
      </c>
      <c r="E346" s="8">
        <v>435.66346786818701</v>
      </c>
      <c r="F346" s="8">
        <v>1411.9123524671754</v>
      </c>
      <c r="G346" s="8">
        <v>369.52625946008493</v>
      </c>
      <c r="H346" s="8">
        <v>138.26759629073848</v>
      </c>
      <c r="I346" s="8">
        <v>507.79385575082341</v>
      </c>
      <c r="J346" s="12">
        <v>0.14796855545847595</v>
      </c>
      <c r="K346" s="12">
        <v>0.1326068267525814</v>
      </c>
      <c r="L346" s="8">
        <v>11.635919378034167</v>
      </c>
      <c r="M346" s="8">
        <v>11.127349268052575</v>
      </c>
      <c r="N346" s="8">
        <v>20.390511749541716</v>
      </c>
      <c r="O346" s="8">
        <v>20.515389903442227</v>
      </c>
      <c r="P346" s="15">
        <v>1.3597480348162687</v>
      </c>
      <c r="Q346" s="15">
        <v>1.184735001764377</v>
      </c>
      <c r="R346" s="8">
        <v>221.50331858839084</v>
      </c>
      <c r="S346" s="8">
        <v>18.553552923801416</v>
      </c>
      <c r="T346" s="8">
        <v>219.68323590046572</v>
      </c>
      <c r="U346" s="8">
        <v>18.553552923801419</v>
      </c>
      <c r="V346" s="8">
        <v>1269.5646123459519</v>
      </c>
      <c r="W346" s="8">
        <v>-85.116237433269646</v>
      </c>
      <c r="X346" s="8">
        <v>6597.6780105348171</v>
      </c>
      <c r="Y346" s="8">
        <v>3676.7099355933287</v>
      </c>
    </row>
    <row r="347" spans="1:25" x14ac:dyDescent="0.2">
      <c r="A347" s="6" t="str">
        <f t="shared" si="61"/>
        <v>13- WA Space/ Water Electrification w/NG Backup&amp;2036</v>
      </c>
      <c r="B347" s="6" t="str">
        <f>'Scenario List'!$A$15</f>
        <v>13- WA Space/ Water Electrification w/NG Backup</v>
      </c>
      <c r="C347" s="6">
        <v>2036</v>
      </c>
      <c r="D347" s="8">
        <v>1033.466827745827</v>
      </c>
      <c r="E347" s="8">
        <v>458.19729841190554</v>
      </c>
      <c r="F347" s="8">
        <v>1491.6641261577324</v>
      </c>
      <c r="G347" s="8">
        <v>398.23182296687702</v>
      </c>
      <c r="H347" s="8">
        <v>149.32987622371388</v>
      </c>
      <c r="I347" s="8">
        <v>547.56169919059084</v>
      </c>
      <c r="J347" s="12">
        <v>0.15283890399433048</v>
      </c>
      <c r="K347" s="12">
        <v>0.13829756758023823</v>
      </c>
      <c r="L347" s="8">
        <v>12.411514744324398</v>
      </c>
      <c r="M347" s="8">
        <v>11.268831562237896</v>
      </c>
      <c r="N347" s="8">
        <v>21.429673521277522</v>
      </c>
      <c r="O347" s="8">
        <v>19.820334480937746</v>
      </c>
      <c r="P347" s="15">
        <v>1.3088401101675067</v>
      </c>
      <c r="Q347" s="15">
        <v>1.2733590404643409</v>
      </c>
      <c r="R347" s="8">
        <v>328.08649292411064</v>
      </c>
      <c r="S347" s="8">
        <v>107.17434967131022</v>
      </c>
      <c r="T347" s="8">
        <v>320.22150922873794</v>
      </c>
      <c r="U347" s="8">
        <v>102.16066688026586</v>
      </c>
      <c r="V347" s="8">
        <v>1264.2003669325277</v>
      </c>
      <c r="W347" s="8">
        <v>119.13514733287089</v>
      </c>
      <c r="X347" s="8">
        <v>6761.8047547904634</v>
      </c>
      <c r="Y347" s="8">
        <v>3705.3407992009447</v>
      </c>
    </row>
    <row r="348" spans="1:25" x14ac:dyDescent="0.2">
      <c r="A348" s="6" t="str">
        <f t="shared" si="61"/>
        <v>13- WA Space/ Water Electrification w/NG Backup&amp;2037</v>
      </c>
      <c r="B348" s="6" t="str">
        <f>'Scenario List'!$A$15</f>
        <v>13- WA Space/ Water Electrification w/NG Backup</v>
      </c>
      <c r="C348" s="6">
        <v>2037</v>
      </c>
      <c r="D348" s="8">
        <v>1088.3493700780286</v>
      </c>
      <c r="E348" s="8">
        <v>474.74499303636253</v>
      </c>
      <c r="F348" s="8">
        <v>1563.0943631143912</v>
      </c>
      <c r="G348" s="8">
        <v>424.89543205430766</v>
      </c>
      <c r="H348" s="8">
        <v>153.83148667131255</v>
      </c>
      <c r="I348" s="8">
        <v>578.72691872562018</v>
      </c>
      <c r="J348" s="12">
        <v>0.1571390952690544</v>
      </c>
      <c r="K348" s="12">
        <v>0.14193955056441934</v>
      </c>
      <c r="L348" s="8">
        <v>14.530045032703505</v>
      </c>
      <c r="M348" s="8">
        <v>12.204561597820069</v>
      </c>
      <c r="N348" s="8">
        <v>23.550410385259411</v>
      </c>
      <c r="O348" s="8">
        <v>21.659524935482906</v>
      </c>
      <c r="P348" s="15">
        <v>1.2743709331889672</v>
      </c>
      <c r="Q348" s="15">
        <v>1.242084117458542</v>
      </c>
      <c r="R348" s="8">
        <v>406.26957630808738</v>
      </c>
      <c r="S348" s="8">
        <v>107.17434967131022</v>
      </c>
      <c r="T348" s="8">
        <v>393.95172314148488</v>
      </c>
      <c r="U348" s="8">
        <v>102.14693076303014</v>
      </c>
      <c r="V348" s="8">
        <v>1252.7560558310231</v>
      </c>
      <c r="W348" s="8">
        <v>108.90148838259395</v>
      </c>
      <c r="X348" s="8">
        <v>6926.02543125599</v>
      </c>
      <c r="Y348" s="8">
        <v>3736.4103791648404</v>
      </c>
    </row>
    <row r="349" spans="1:25" x14ac:dyDescent="0.2">
      <c r="A349" s="6" t="str">
        <f t="shared" si="61"/>
        <v>13- WA Space/ Water Electrification w/NG Backup&amp;2038</v>
      </c>
      <c r="B349" s="6" t="str">
        <f>'Scenario List'!$A$15</f>
        <v>13- WA Space/ Water Electrification w/NG Backup</v>
      </c>
      <c r="C349" s="6">
        <v>2038</v>
      </c>
      <c r="D349" s="8">
        <v>1142.7085648654252</v>
      </c>
      <c r="E349" s="8">
        <v>489.16440240573905</v>
      </c>
      <c r="F349" s="8">
        <v>1631.8729672711643</v>
      </c>
      <c r="G349" s="8">
        <v>447.01903436907793</v>
      </c>
      <c r="H349" s="8">
        <v>155.92573944024224</v>
      </c>
      <c r="I349" s="8">
        <v>602.94477380932017</v>
      </c>
      <c r="J349" s="12">
        <v>0.16106011862192465</v>
      </c>
      <c r="K349" s="12">
        <v>0.14482002099280714</v>
      </c>
      <c r="L349" s="8">
        <v>17.769030419637062</v>
      </c>
      <c r="M349" s="8">
        <v>14.170535739932623</v>
      </c>
      <c r="N349" s="8">
        <v>32.15820087705896</v>
      </c>
      <c r="O349" s="8">
        <v>26.053228095008407</v>
      </c>
      <c r="P349" s="15">
        <v>1.1565964455854683</v>
      </c>
      <c r="Q349" s="15">
        <v>1.1923385161735403</v>
      </c>
      <c r="R349" s="8">
        <v>463.55593320770879</v>
      </c>
      <c r="S349" s="8">
        <v>107.17434967131022</v>
      </c>
      <c r="T349" s="8">
        <v>451.28131355031763</v>
      </c>
      <c r="U349" s="8">
        <v>102.14693076303014</v>
      </c>
      <c r="V349" s="8">
        <v>943.26953781699058</v>
      </c>
      <c r="W349" s="8">
        <v>107.13678071621503</v>
      </c>
      <c r="X349" s="8">
        <v>7094.9194291098174</v>
      </c>
      <c r="Y349" s="8">
        <v>3768.9110478308953</v>
      </c>
    </row>
    <row r="350" spans="1:25" x14ac:dyDescent="0.2">
      <c r="A350" s="6" t="str">
        <f t="shared" si="61"/>
        <v>13- WA Space/ Water Electrification w/NG Backup&amp;2039</v>
      </c>
      <c r="B350" s="6" t="str">
        <f>'Scenario List'!$A$15</f>
        <v>13- WA Space/ Water Electrification w/NG Backup</v>
      </c>
      <c r="C350" s="6">
        <v>2039</v>
      </c>
      <c r="D350" s="8">
        <v>1208.6016115059688</v>
      </c>
      <c r="E350" s="8">
        <v>510.06428230214732</v>
      </c>
      <c r="F350" s="8">
        <v>1718.6658938081162</v>
      </c>
      <c r="G350" s="8">
        <v>483.3588985524575</v>
      </c>
      <c r="H350" s="8">
        <v>163.82687506800545</v>
      </c>
      <c r="I350" s="8">
        <v>647.1857736204629</v>
      </c>
      <c r="J350" s="12">
        <v>0.16641928641484055</v>
      </c>
      <c r="K350" s="12">
        <v>0.14951974796935219</v>
      </c>
      <c r="L350" s="8">
        <v>17.443151603232661</v>
      </c>
      <c r="M350" s="8">
        <v>14.026872225937437</v>
      </c>
      <c r="N350" s="8">
        <v>34.401947983339397</v>
      </c>
      <c r="O350" s="8">
        <v>26.000887189199261</v>
      </c>
      <c r="P350" s="15">
        <v>1.2845722143428555</v>
      </c>
      <c r="Q350" s="15">
        <v>1.1781447849272475</v>
      </c>
      <c r="R350" s="8">
        <v>527.50041091359492</v>
      </c>
      <c r="S350" s="8">
        <v>107.17434967131022</v>
      </c>
      <c r="T350" s="8">
        <v>515.2627651130864</v>
      </c>
      <c r="U350" s="8">
        <v>102.14693076303014</v>
      </c>
      <c r="V350" s="8">
        <v>594.89545396757217</v>
      </c>
      <c r="W350" s="8">
        <v>103.56163831215976</v>
      </c>
      <c r="X350" s="8">
        <v>7262.389098900685</v>
      </c>
      <c r="Y350" s="8">
        <v>3803.092957062096</v>
      </c>
    </row>
    <row r="351" spans="1:25" x14ac:dyDescent="0.2">
      <c r="A351" s="6" t="str">
        <f t="shared" si="61"/>
        <v>13- WA Space/ Water Electrification w/NG Backup&amp;2040</v>
      </c>
      <c r="B351" s="6" t="str">
        <f>'Scenario List'!$A$15</f>
        <v>13- WA Space/ Water Electrification w/NG Backup</v>
      </c>
      <c r="C351" s="6">
        <v>2040</v>
      </c>
      <c r="D351" s="8">
        <v>1257.8548916982188</v>
      </c>
      <c r="E351" s="8">
        <v>523.78092037932186</v>
      </c>
      <c r="F351" s="8">
        <v>1781.6358120775408</v>
      </c>
      <c r="G351" s="8">
        <v>501.60602188795366</v>
      </c>
      <c r="H351" s="8">
        <v>164.1507044303483</v>
      </c>
      <c r="I351" s="8">
        <v>665.75672631830196</v>
      </c>
      <c r="J351" s="12">
        <v>0.16930760878464626</v>
      </c>
      <c r="K351" s="12">
        <v>0.15199079401159277</v>
      </c>
      <c r="L351" s="8">
        <v>20.724255091753577</v>
      </c>
      <c r="M351" s="8">
        <v>15.565588152695531</v>
      </c>
      <c r="N351" s="8">
        <v>39.354183599481502</v>
      </c>
      <c r="O351" s="8">
        <v>30.780879346100548</v>
      </c>
      <c r="P351" s="15">
        <v>1.4131473436257402</v>
      </c>
      <c r="Q351" s="15">
        <v>1.1629876156427053</v>
      </c>
      <c r="R351" s="8">
        <v>596.49234264844972</v>
      </c>
      <c r="S351" s="8">
        <v>107.17434967131022</v>
      </c>
      <c r="T351" s="8">
        <v>584.31550932928326</v>
      </c>
      <c r="U351" s="8">
        <v>102.16066688026586</v>
      </c>
      <c r="V351" s="8">
        <v>190.42854335843853</v>
      </c>
      <c r="W351" s="8">
        <v>107.39345280827297</v>
      </c>
      <c r="X351" s="8">
        <v>7429.4055697057838</v>
      </c>
      <c r="Y351" s="8">
        <v>3839.2037522035998</v>
      </c>
    </row>
    <row r="352" spans="1:25" x14ac:dyDescent="0.2">
      <c r="A352" s="6" t="str">
        <f t="shared" si="61"/>
        <v>13- WA Space/ Water Electrification w/NG Backup&amp;2041</v>
      </c>
      <c r="B352" s="6" t="str">
        <f>'Scenario List'!$A$15</f>
        <v>13- WA Space/ Water Electrification w/NG Backup</v>
      </c>
      <c r="C352" s="6">
        <v>2041</v>
      </c>
      <c r="D352" s="8">
        <v>1314.6853443360696</v>
      </c>
      <c r="E352" s="8">
        <v>528.17320587445738</v>
      </c>
      <c r="F352" s="8">
        <v>1842.858550210527</v>
      </c>
      <c r="G352" s="8">
        <v>522.77965813138042</v>
      </c>
      <c r="H352" s="8">
        <v>154.92138050921452</v>
      </c>
      <c r="I352" s="8">
        <v>677.7010386405949</v>
      </c>
      <c r="J352" s="12">
        <v>0.17348370892955942</v>
      </c>
      <c r="K352" s="12">
        <v>0.15149292272013626</v>
      </c>
      <c r="L352" s="8">
        <v>20.151807574241879</v>
      </c>
      <c r="M352" s="8">
        <v>15.529693031114903</v>
      </c>
      <c r="N352" s="8">
        <v>36.296354767366608</v>
      </c>
      <c r="O352" s="8">
        <v>27.001590533085405</v>
      </c>
      <c r="P352" s="15">
        <v>1.5833439575982506</v>
      </c>
      <c r="Q352" s="15">
        <v>1.1206172721993073</v>
      </c>
      <c r="R352" s="8">
        <v>708.31533874913816</v>
      </c>
      <c r="S352" s="8">
        <v>126.62359834934321</v>
      </c>
      <c r="T352" s="8">
        <v>697.50922419260428</v>
      </c>
      <c r="U352" s="8">
        <v>121.5961794410631</v>
      </c>
      <c r="V352" s="8">
        <v>82.842531368243598</v>
      </c>
      <c r="W352" s="8">
        <v>0.77018503667027105</v>
      </c>
      <c r="X352" s="8">
        <v>7578.1487059968204</v>
      </c>
      <c r="Y352" s="8">
        <v>3878.3927657608174</v>
      </c>
    </row>
    <row r="353" spans="1:25" x14ac:dyDescent="0.2">
      <c r="A353" s="6" t="str">
        <f t="shared" si="61"/>
        <v>13- WA Space/ Water Electrification w/NG Backup&amp;2042</v>
      </c>
      <c r="B353" s="6" t="str">
        <f>'Scenario List'!$A$15</f>
        <v>13- WA Space/ Water Electrification w/NG Backup</v>
      </c>
      <c r="C353" s="6">
        <v>2042</v>
      </c>
      <c r="D353" s="8">
        <v>1437.3356676889189</v>
      </c>
      <c r="E353" s="8">
        <v>571.05989128353417</v>
      </c>
      <c r="F353" s="8">
        <v>2008.395558972453</v>
      </c>
      <c r="G353" s="8">
        <v>564.22752068455691</v>
      </c>
      <c r="H353" s="8">
        <v>182.78258489442842</v>
      </c>
      <c r="I353" s="8">
        <v>747.0101055789853</v>
      </c>
      <c r="J353" s="12">
        <v>0.18600966727591223</v>
      </c>
      <c r="K353" s="12">
        <v>0.1618502614828112</v>
      </c>
      <c r="L353" s="8">
        <v>21.724070541917012</v>
      </c>
      <c r="M353" s="8">
        <v>20.917254036948947</v>
      </c>
      <c r="N353" s="8">
        <v>36.129798352483299</v>
      </c>
      <c r="O353" s="8">
        <v>41.008004240203448</v>
      </c>
      <c r="P353" s="15">
        <v>1.28178372668503</v>
      </c>
      <c r="Q353" s="15">
        <v>0.91664884084581355</v>
      </c>
      <c r="R353" s="8">
        <v>954.47961011474126</v>
      </c>
      <c r="S353" s="8">
        <v>259.11654924514977</v>
      </c>
      <c r="T353" s="8">
        <v>940.36120267364299</v>
      </c>
      <c r="U353" s="8">
        <v>246.5728633770363</v>
      </c>
      <c r="V353" s="8">
        <v>506.42871949184149</v>
      </c>
      <c r="W353" s="8">
        <v>312.55229606768512</v>
      </c>
      <c r="X353" s="8">
        <v>7727.2094979713465</v>
      </c>
      <c r="Y353" s="8">
        <v>3919.8911489513985</v>
      </c>
    </row>
    <row r="354" spans="1:25" x14ac:dyDescent="0.2">
      <c r="A354" s="6" t="str">
        <f t="shared" si="61"/>
        <v>13- WA Space/ Water Electrification w/NG Backup&amp;2043</v>
      </c>
      <c r="B354" s="6" t="str">
        <f>'Scenario List'!$A$15</f>
        <v>13- WA Space/ Water Electrification w/NG Backup</v>
      </c>
      <c r="C354" s="6">
        <v>2043</v>
      </c>
      <c r="D354" s="8">
        <v>1537.74883606035</v>
      </c>
      <c r="E354" s="8">
        <v>597.88448484932746</v>
      </c>
      <c r="F354" s="8">
        <v>2135.6333209096774</v>
      </c>
      <c r="G354" s="8">
        <v>628.59433297609985</v>
      </c>
      <c r="H354" s="8">
        <v>194.45967173383167</v>
      </c>
      <c r="I354" s="8">
        <v>823.05400470993152</v>
      </c>
      <c r="J354" s="12">
        <v>0.19550411745324264</v>
      </c>
      <c r="K354" s="12">
        <v>0.1673535544338442</v>
      </c>
      <c r="L354" s="8">
        <v>21.121137692073937</v>
      </c>
      <c r="M354" s="8">
        <v>21.417332704894378</v>
      </c>
      <c r="N354" s="8">
        <v>34.904939895271895</v>
      </c>
      <c r="O354" s="8">
        <v>41.014409045889451</v>
      </c>
      <c r="P354" s="15">
        <v>1.3943368312110795</v>
      </c>
      <c r="Q354" s="15">
        <v>0.9213254144525842</v>
      </c>
      <c r="R354" s="8">
        <v>1021.1428201890683</v>
      </c>
      <c r="S354" s="8">
        <v>259.11654924514977</v>
      </c>
      <c r="T354" s="8">
        <v>1014.3963643493466</v>
      </c>
      <c r="U354" s="8">
        <v>246.5728633770363</v>
      </c>
      <c r="V354" s="8">
        <v>872.64605728982644</v>
      </c>
      <c r="W354" s="8">
        <v>322.62890507334185</v>
      </c>
      <c r="X354" s="8">
        <v>7865.5572889820214</v>
      </c>
      <c r="Y354" s="8">
        <v>3964.2064383579568</v>
      </c>
    </row>
    <row r="355" spans="1:25" x14ac:dyDescent="0.2">
      <c r="A355" s="6" t="str">
        <f t="shared" si="61"/>
        <v>13- WA Space/ Water Electrification w/NG Backup&amp;2044</v>
      </c>
      <c r="B355" s="6" t="str">
        <f>'Scenario List'!$A$15</f>
        <v>13- WA Space/ Water Electrification w/NG Backup</v>
      </c>
      <c r="C355" s="6">
        <v>2044</v>
      </c>
      <c r="D355" s="8">
        <v>1620.1430946848297</v>
      </c>
      <c r="E355" s="8">
        <v>628.02936539851703</v>
      </c>
      <c r="F355" s="8">
        <v>2248.1724600833468</v>
      </c>
      <c r="G355" s="8">
        <v>681.82008148830391</v>
      </c>
      <c r="H355" s="8">
        <v>208.98150445017734</v>
      </c>
      <c r="I355" s="8">
        <v>890.80158593848125</v>
      </c>
      <c r="J355" s="12">
        <v>0.20214602101095974</v>
      </c>
      <c r="K355" s="12">
        <v>0.17352618018321495</v>
      </c>
      <c r="L355" s="8">
        <v>25.144122386400323</v>
      </c>
      <c r="M355" s="8">
        <v>25.55666765325482</v>
      </c>
      <c r="N355" s="8">
        <v>41.760950980412083</v>
      </c>
      <c r="O355" s="8">
        <v>45.813877415103903</v>
      </c>
      <c r="P355" s="15">
        <v>1.4402272453997322</v>
      </c>
      <c r="Q355" s="15">
        <v>1.0176312003013344</v>
      </c>
      <c r="R355" s="8">
        <v>1081.2237583934154</v>
      </c>
      <c r="S355" s="8">
        <v>287.31516304865693</v>
      </c>
      <c r="T355" s="8">
        <v>1080.5858048659072</v>
      </c>
      <c r="U355" s="8">
        <v>274.80574954630345</v>
      </c>
      <c r="V355" s="8">
        <v>1341.9165417217482</v>
      </c>
      <c r="W355" s="8">
        <v>260.19243653348718</v>
      </c>
      <c r="X355" s="8">
        <v>8014.7167210231191</v>
      </c>
      <c r="Y355" s="8">
        <v>4012.2096253474074</v>
      </c>
    </row>
    <row r="356" spans="1:25" x14ac:dyDescent="0.2">
      <c r="A356" s="6" t="str">
        <f t="shared" si="61"/>
        <v>13- WA Space/ Water Electrification w/NG Backup&amp;2045</v>
      </c>
      <c r="B356" s="6" t="str">
        <f>'Scenario List'!$A$15</f>
        <v>13- WA Space/ Water Electrification w/NG Backup</v>
      </c>
      <c r="C356" s="6">
        <v>2045</v>
      </c>
      <c r="D356" s="8">
        <v>1982.3449610056218</v>
      </c>
      <c r="E356" s="8">
        <v>712.69718384835642</v>
      </c>
      <c r="F356" s="8">
        <v>2695.0421448539782</v>
      </c>
      <c r="G356" s="8">
        <v>921.36156867638852</v>
      </c>
      <c r="H356" s="8">
        <v>277.16578489730551</v>
      </c>
      <c r="I356" s="8">
        <v>1198.527353573694</v>
      </c>
      <c r="J356" s="12">
        <v>0.24357133085008276</v>
      </c>
      <c r="K356" s="12">
        <v>0.19404108934597813</v>
      </c>
      <c r="L356" s="8">
        <v>31.071412967548504</v>
      </c>
      <c r="M356" s="8">
        <v>21.911785875049908</v>
      </c>
      <c r="N356" s="8">
        <v>47.754191462048674</v>
      </c>
      <c r="O356" s="8">
        <v>42.608462762672247</v>
      </c>
      <c r="P356" s="15">
        <v>0.79590144144996944</v>
      </c>
      <c r="Q356" s="15">
        <v>0.52686626434900963</v>
      </c>
      <c r="R356" s="8">
        <v>1537.9618659933119</v>
      </c>
      <c r="S356" s="8">
        <v>352.47774291579185</v>
      </c>
      <c r="T356" s="8">
        <v>1532.7475074631748</v>
      </c>
      <c r="U356" s="8">
        <v>339.93405704767844</v>
      </c>
      <c r="V356" s="8">
        <v>3054.7215714245185</v>
      </c>
      <c r="W356" s="8">
        <v>330.504722500784</v>
      </c>
      <c r="X356" s="8">
        <v>8138.6629292005955</v>
      </c>
      <c r="Y356" s="8">
        <v>4064.7092508286464</v>
      </c>
    </row>
    <row r="357" spans="1:25" x14ac:dyDescent="0.2">
      <c r="A357" s="6" t="str">
        <f t="shared" si="61"/>
        <v>13- WA Space/ Water Electrification w/NG Backup&amp;NPV</v>
      </c>
      <c r="B357" s="6" t="str">
        <f>'Scenario List'!$A$15</f>
        <v>13- WA Space/ Water Electrification w/NG Backup</v>
      </c>
      <c r="C357" s="3" t="s">
        <v>6</v>
      </c>
      <c r="D357" s="16">
        <f t="shared" ref="D357:E357" si="62">NPV($B$1,D333:D356)</f>
        <v>10733.402281819013</v>
      </c>
      <c r="E357" s="16">
        <f t="shared" si="62"/>
        <v>4803.2711659113829</v>
      </c>
      <c r="F357" s="16">
        <f>NPV($B$1,F333:F356)</f>
        <v>15536.673447730398</v>
      </c>
      <c r="G357" s="16">
        <f t="shared" ref="G357:I357" si="63">NPV($B$1,G333:G356)</f>
        <v>4777.1710394965712</v>
      </c>
      <c r="H357" s="16">
        <f t="shared" si="63"/>
        <v>1672.7130569567187</v>
      </c>
      <c r="I357" s="16">
        <f t="shared" si="63"/>
        <v>6449.8840964532892</v>
      </c>
      <c r="L357" s="52">
        <f t="shared" ref="L357:Q357" si="64">NPV($B$1,L333:L356)</f>
        <v>168.89435324106549</v>
      </c>
      <c r="M357" s="52">
        <f t="shared" si="64"/>
        <v>121.51212116998046</v>
      </c>
      <c r="N357" s="52">
        <f t="shared" si="64"/>
        <v>288.7776009228877</v>
      </c>
      <c r="O357" s="52">
        <f t="shared" si="64"/>
        <v>218.86792748255172</v>
      </c>
      <c r="P357" s="52">
        <f t="shared" si="64"/>
        <v>18.911034038598721</v>
      </c>
      <c r="Q357" s="52">
        <f t="shared" si="64"/>
        <v>19.040494702148148</v>
      </c>
      <c r="X357" s="52">
        <f>-PMT($B$1,22,NPV($B$1,X335:X356))</f>
        <v>6425.4510151786981</v>
      </c>
      <c r="Y357" s="52">
        <f>-PMT($B$1,22,NPV($B$1,Y335:Y356))</f>
        <v>3631.8536355136043</v>
      </c>
    </row>
    <row r="358" spans="1:25" x14ac:dyDescent="0.2">
      <c r="A358" s="6" t="str">
        <f t="shared" si="61"/>
        <v>13- WA Space/ Water Electrification w/NG Backup&amp;Levelized</v>
      </c>
      <c r="B358" s="6" t="str">
        <f>'Scenario List'!$A$15</f>
        <v>13- WA Space/ Water Electrification w/NG Backup</v>
      </c>
      <c r="C358" s="3" t="s">
        <v>7</v>
      </c>
      <c r="D358" s="16">
        <f t="shared" ref="D358:I358" si="65">-PMT($B$1,COUNT(D333:D356),D357)</f>
        <v>912.71655449597529</v>
      </c>
      <c r="E358" s="16">
        <f t="shared" si="65"/>
        <v>408.44692053389923</v>
      </c>
      <c r="F358" s="16">
        <f t="shared" si="65"/>
        <v>1321.1634750298747</v>
      </c>
      <c r="G358" s="16">
        <f t="shared" si="65"/>
        <v>406.2274921711342</v>
      </c>
      <c r="H358" s="16">
        <f t="shared" si="65"/>
        <v>142.23941839876991</v>
      </c>
      <c r="I358" s="16">
        <f t="shared" si="65"/>
        <v>548.46691056990403</v>
      </c>
      <c r="L358" s="52">
        <f t="shared" ref="L358:Q358" si="66">-PMT($B$1,COUNT(L333:L356),L357)</f>
        <v>14.361957943673275</v>
      </c>
      <c r="M358" s="52">
        <f t="shared" si="66"/>
        <v>10.332802372610459</v>
      </c>
      <c r="N358" s="52">
        <f t="shared" si="66"/>
        <v>24.556248802526358</v>
      </c>
      <c r="O358" s="52">
        <f t="shared" si="66"/>
        <v>18.611468704562061</v>
      </c>
      <c r="P358" s="52">
        <f t="shared" si="66"/>
        <v>1.6081027596350159</v>
      </c>
      <c r="Q358" s="52">
        <f t="shared" si="66"/>
        <v>1.619111467561462</v>
      </c>
    </row>
    <row r="359" spans="1:25" ht="15" x14ac:dyDescent="0.25">
      <c r="C359" s="2"/>
      <c r="D359" s="53"/>
      <c r="E359" s="53"/>
      <c r="F359" s="53"/>
      <c r="G359" s="53"/>
      <c r="H359" s="53"/>
      <c r="I359" s="53"/>
      <c r="J359" s="54"/>
      <c r="K359" s="54"/>
      <c r="L359" s="47"/>
      <c r="M359" s="47"/>
      <c r="N359" s="47"/>
      <c r="O359" s="47"/>
      <c r="P359" s="54"/>
      <c r="Q359" s="48"/>
      <c r="R359" s="47"/>
      <c r="S359" s="47"/>
      <c r="T359" s="47"/>
      <c r="U359" s="47"/>
      <c r="V359" s="49"/>
      <c r="W359" s="50"/>
      <c r="X359" s="50"/>
      <c r="Y359" s="50"/>
    </row>
    <row r="360" spans="1:25" ht="15" x14ac:dyDescent="0.25">
      <c r="C360" s="2"/>
      <c r="D360" s="53"/>
      <c r="E360" s="53"/>
      <c r="F360" s="53"/>
      <c r="G360" s="53"/>
      <c r="H360" s="53"/>
      <c r="I360" s="53"/>
      <c r="J360" s="54"/>
      <c r="K360" s="54"/>
      <c r="L360" s="47"/>
      <c r="M360" s="47"/>
      <c r="N360" s="47"/>
      <c r="O360" s="47"/>
      <c r="P360" s="54"/>
      <c r="Q360" s="48"/>
      <c r="R360" s="47"/>
      <c r="S360" s="47"/>
      <c r="T360" s="47"/>
      <c r="U360" s="47"/>
      <c r="V360" s="49"/>
      <c r="W360" s="50"/>
      <c r="X360" s="50"/>
      <c r="Y360" s="50"/>
    </row>
    <row r="361" spans="1:25" x14ac:dyDescent="0.2">
      <c r="A361" s="6" t="str">
        <f t="shared" ref="A361:A385" si="67">B361&amp;"&amp;"&amp;C361</f>
        <v>14- Combined Electrification&amp;2023</v>
      </c>
      <c r="B361" s="6" t="str">
        <f>'Scenario List'!$A$16</f>
        <v>14- Combined Electrification</v>
      </c>
      <c r="C361" s="6">
        <v>2023</v>
      </c>
      <c r="D361" s="8">
        <v>645.757430141653</v>
      </c>
      <c r="E361" s="8">
        <v>316.34636312857168</v>
      </c>
      <c r="F361" s="8">
        <v>962.10379327022474</v>
      </c>
      <c r="G361" s="8">
        <v>412.15047341405517</v>
      </c>
      <c r="H361" s="8">
        <v>125.7814075000791</v>
      </c>
      <c r="I361" s="8">
        <v>537.93188091413424</v>
      </c>
      <c r="J361" s="12">
        <v>0.11200320692684362</v>
      </c>
      <c r="K361" s="12">
        <v>0.10241232859261967</v>
      </c>
      <c r="L361" s="8">
        <v>16.928187251440921</v>
      </c>
      <c r="M361" s="8">
        <v>9.4207813860960936</v>
      </c>
      <c r="N361" s="8">
        <v>27.76234690343091</v>
      </c>
      <c r="O361" s="8">
        <v>15.750583536730844</v>
      </c>
      <c r="P361" s="15">
        <v>2.5071495936225858</v>
      </c>
      <c r="Q361" s="15">
        <v>2.8792050200375625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5765.5262546494587</v>
      </c>
      <c r="Y361" s="8">
        <v>3474.8018587735855</v>
      </c>
    </row>
    <row r="362" spans="1:25" x14ac:dyDescent="0.2">
      <c r="A362" s="6" t="str">
        <f t="shared" si="67"/>
        <v>14- Combined Electrification&amp;2024</v>
      </c>
      <c r="B362" s="6" t="str">
        <f>'Scenario List'!$A$16</f>
        <v>14- Combined Electrification</v>
      </c>
      <c r="C362" s="6">
        <v>2024</v>
      </c>
      <c r="D362" s="8">
        <v>658.7210095828932</v>
      </c>
      <c r="E362" s="8">
        <v>322.01574847421551</v>
      </c>
      <c r="F362" s="8">
        <v>980.73675805710877</v>
      </c>
      <c r="G362" s="8">
        <v>418.79449122857119</v>
      </c>
      <c r="H362" s="8">
        <v>127.04600422894518</v>
      </c>
      <c r="I362" s="8">
        <v>545.84049545751634</v>
      </c>
      <c r="J362" s="12">
        <v>0.11333022264336344</v>
      </c>
      <c r="K362" s="12">
        <v>0.10393916365158347</v>
      </c>
      <c r="L362" s="8">
        <v>13.218176229623694</v>
      </c>
      <c r="M362" s="8">
        <v>7.2817336243909132</v>
      </c>
      <c r="N362" s="8">
        <v>22.34757349941367</v>
      </c>
      <c r="O362" s="8">
        <v>12.627676870938004</v>
      </c>
      <c r="P362" s="15">
        <v>2.4532169693564638</v>
      </c>
      <c r="Q362" s="15">
        <v>2.9672417086309277</v>
      </c>
      <c r="R362" s="8">
        <v>1.0380200044495842E-2</v>
      </c>
      <c r="S362" s="8">
        <v>0</v>
      </c>
      <c r="T362" s="8">
        <v>0.11416085097882279</v>
      </c>
      <c r="U362" s="8">
        <v>0</v>
      </c>
      <c r="V362" s="8">
        <v>0.97729443319812614</v>
      </c>
      <c r="W362" s="8">
        <v>0</v>
      </c>
      <c r="X362" s="8">
        <v>5812.4037367843957</v>
      </c>
      <c r="Y362" s="8">
        <v>3485.8778537861672</v>
      </c>
    </row>
    <row r="363" spans="1:25" x14ac:dyDescent="0.2">
      <c r="A363" s="6" t="str">
        <f t="shared" si="67"/>
        <v>14- Combined Electrification&amp;2025</v>
      </c>
      <c r="B363" s="6" t="str">
        <f>'Scenario List'!$A$16</f>
        <v>14- Combined Electrification</v>
      </c>
      <c r="C363" s="6">
        <v>2025</v>
      </c>
      <c r="D363" s="8">
        <v>682.60286752580203</v>
      </c>
      <c r="E363" s="8">
        <v>329.69101324715194</v>
      </c>
      <c r="F363" s="8">
        <v>1012.293880772954</v>
      </c>
      <c r="G363" s="8">
        <v>414.01930339916061</v>
      </c>
      <c r="H363" s="8">
        <v>127.17944661475137</v>
      </c>
      <c r="I363" s="8">
        <v>541.19875001391199</v>
      </c>
      <c r="J363" s="12">
        <v>0.11676893763449683</v>
      </c>
      <c r="K363" s="12">
        <v>0.10612597703455298</v>
      </c>
      <c r="L363" s="8">
        <v>10.40287690804602</v>
      </c>
      <c r="M363" s="8">
        <v>5.6406399839710701</v>
      </c>
      <c r="N363" s="8">
        <v>17.682870878675573</v>
      </c>
      <c r="O363" s="8">
        <v>9.5497750805995025</v>
      </c>
      <c r="P363" s="15">
        <v>2.267704348036649</v>
      </c>
      <c r="Q363" s="15">
        <v>2.7196586755011132</v>
      </c>
      <c r="R363" s="8">
        <v>0.454670475539243</v>
      </c>
      <c r="S363" s="8">
        <v>0</v>
      </c>
      <c r="T363" s="8">
        <v>0.55975956888744105</v>
      </c>
      <c r="U363" s="8">
        <v>0</v>
      </c>
      <c r="V363" s="8">
        <v>1.9714226177824343</v>
      </c>
      <c r="W363" s="8">
        <v>0</v>
      </c>
      <c r="X363" s="8">
        <v>5845.757282321475</v>
      </c>
      <c r="Y363" s="8">
        <v>3497.6563859940802</v>
      </c>
    </row>
    <row r="364" spans="1:25" x14ac:dyDescent="0.2">
      <c r="A364" s="6" t="str">
        <f t="shared" si="67"/>
        <v>14- Combined Electrification&amp;2026</v>
      </c>
      <c r="B364" s="6" t="str">
        <f>'Scenario List'!$A$16</f>
        <v>14- Combined Electrification</v>
      </c>
      <c r="C364" s="6">
        <v>2026</v>
      </c>
      <c r="D364" s="8">
        <v>692.1601876990353</v>
      </c>
      <c r="E364" s="8">
        <v>339.87908598941408</v>
      </c>
      <c r="F364" s="8">
        <v>1032.0392736884494</v>
      </c>
      <c r="G364" s="8">
        <v>313.2695933910835</v>
      </c>
      <c r="H364" s="8">
        <v>129.45679433474663</v>
      </c>
      <c r="I364" s="8">
        <v>442.72638772583014</v>
      </c>
      <c r="J364" s="12">
        <v>0.11897714397283853</v>
      </c>
      <c r="K364" s="12">
        <v>0.11034574615729291</v>
      </c>
      <c r="L364" s="8">
        <v>13.494881119989993</v>
      </c>
      <c r="M364" s="8">
        <v>7.1874635545699599</v>
      </c>
      <c r="N364" s="8">
        <v>23.324237895405901</v>
      </c>
      <c r="O364" s="8">
        <v>12.577202355552544</v>
      </c>
      <c r="P364" s="15">
        <v>1.357664703805691</v>
      </c>
      <c r="Q364" s="15">
        <v>1.4922093815351607</v>
      </c>
      <c r="R364" s="8">
        <v>1.4307627098382938</v>
      </c>
      <c r="S364" s="8">
        <v>0</v>
      </c>
      <c r="T364" s="8">
        <v>1.5898481240728632</v>
      </c>
      <c r="U364" s="8">
        <v>0</v>
      </c>
      <c r="V364" s="8">
        <v>2.9826784510598912</v>
      </c>
      <c r="W364" s="8">
        <v>0</v>
      </c>
      <c r="X364" s="8">
        <v>5817.589535155169</v>
      </c>
      <c r="Y364" s="8">
        <v>3472.4875305724554</v>
      </c>
    </row>
    <row r="365" spans="1:25" x14ac:dyDescent="0.2">
      <c r="A365" s="6" t="str">
        <f t="shared" si="67"/>
        <v>14- Combined Electrification&amp;2027</v>
      </c>
      <c r="B365" s="6" t="str">
        <f>'Scenario List'!$A$16</f>
        <v>14- Combined Electrification</v>
      </c>
      <c r="C365" s="6">
        <v>2027</v>
      </c>
      <c r="D365" s="8">
        <v>712.32316981781764</v>
      </c>
      <c r="E365" s="8">
        <v>344.13979284478319</v>
      </c>
      <c r="F365" s="8">
        <v>1056.4629626626008</v>
      </c>
      <c r="G365" s="8">
        <v>311.46167937213232</v>
      </c>
      <c r="H365" s="8">
        <v>125.41872081702139</v>
      </c>
      <c r="I365" s="8">
        <v>436.8804001891537</v>
      </c>
      <c r="J365" s="12">
        <v>0.12146763911901842</v>
      </c>
      <c r="K365" s="12">
        <v>0.11097298583704147</v>
      </c>
      <c r="L365" s="8">
        <v>11.156629827717031</v>
      </c>
      <c r="M365" s="8">
        <v>6.0205713058075672</v>
      </c>
      <c r="N365" s="8">
        <v>16.430881785942432</v>
      </c>
      <c r="O365" s="8">
        <v>8.7847545590357328</v>
      </c>
      <c r="P365" s="15">
        <v>1.5322265533850015</v>
      </c>
      <c r="Q365" s="15">
        <v>1.4329042999731518</v>
      </c>
      <c r="R365" s="8">
        <v>3.1283509710090698</v>
      </c>
      <c r="S365" s="8">
        <v>0</v>
      </c>
      <c r="T365" s="8">
        <v>3.3425748974627796</v>
      </c>
      <c r="U365" s="8">
        <v>0</v>
      </c>
      <c r="V365" s="8">
        <v>4.0266198386112562</v>
      </c>
      <c r="W365" s="8">
        <v>0</v>
      </c>
      <c r="X365" s="8">
        <v>5864.3040647217767</v>
      </c>
      <c r="Y365" s="8">
        <v>3492.3901560755921</v>
      </c>
    </row>
    <row r="366" spans="1:25" x14ac:dyDescent="0.2">
      <c r="A366" s="6" t="str">
        <f t="shared" si="67"/>
        <v>14- Combined Electrification&amp;2028</v>
      </c>
      <c r="B366" s="6" t="str">
        <f>'Scenario List'!$A$16</f>
        <v>14- Combined Electrification</v>
      </c>
      <c r="C366" s="6">
        <v>2028</v>
      </c>
      <c r="D366" s="8">
        <v>740.06209717666673</v>
      </c>
      <c r="E366" s="8">
        <v>352.97073926478447</v>
      </c>
      <c r="F366" s="8">
        <v>1093.0328364414513</v>
      </c>
      <c r="G366" s="8">
        <v>317.99611442162291</v>
      </c>
      <c r="H366" s="8">
        <v>125.60681738134248</v>
      </c>
      <c r="I366" s="8">
        <v>443.60293180296537</v>
      </c>
      <c r="J366" s="12">
        <v>0.12498917125565168</v>
      </c>
      <c r="K366" s="12">
        <v>0.11309250881330271</v>
      </c>
      <c r="L366" s="8">
        <v>13.546687502065419</v>
      </c>
      <c r="M366" s="8">
        <v>7.2771196997122196</v>
      </c>
      <c r="N366" s="8">
        <v>25.957779089633107</v>
      </c>
      <c r="O366" s="8">
        <v>14.070095220357842</v>
      </c>
      <c r="P366" s="15">
        <v>1.5730832543333051</v>
      </c>
      <c r="Q366" s="15">
        <v>1.4184150619134281</v>
      </c>
      <c r="R366" s="8">
        <v>3.7086057963520349</v>
      </c>
      <c r="S366" s="8">
        <v>0</v>
      </c>
      <c r="T366" s="8">
        <v>3.9784722455761088</v>
      </c>
      <c r="U366" s="8">
        <v>0</v>
      </c>
      <c r="V366" s="8">
        <v>5.0761915758614151</v>
      </c>
      <c r="W366" s="8">
        <v>0</v>
      </c>
      <c r="X366" s="8">
        <v>5921.0097142171671</v>
      </c>
      <c r="Y366" s="8">
        <v>3510.633068657361</v>
      </c>
    </row>
    <row r="367" spans="1:25" x14ac:dyDescent="0.2">
      <c r="A367" s="6" t="str">
        <f t="shared" si="67"/>
        <v>14- Combined Electrification&amp;2029</v>
      </c>
      <c r="B367" s="6" t="str">
        <f>'Scenario List'!$A$16</f>
        <v>14- Combined Electrification</v>
      </c>
      <c r="C367" s="6">
        <v>2029</v>
      </c>
      <c r="D367" s="8">
        <v>766.33639103033659</v>
      </c>
      <c r="E367" s="8">
        <v>363.88019772215307</v>
      </c>
      <c r="F367" s="8">
        <v>1130.2165887524898</v>
      </c>
      <c r="G367" s="8">
        <v>320.94699293017078</v>
      </c>
      <c r="H367" s="8">
        <v>127.51315403896707</v>
      </c>
      <c r="I367" s="8">
        <v>448.46014696913784</v>
      </c>
      <c r="J367" s="12">
        <v>0.12814373089832012</v>
      </c>
      <c r="K367" s="12">
        <v>0.11574842159117846</v>
      </c>
      <c r="L367" s="8">
        <v>15.287559672519009</v>
      </c>
      <c r="M367" s="8">
        <v>8.1710762025054873</v>
      </c>
      <c r="N367" s="8">
        <v>24.972903426739038</v>
      </c>
      <c r="O367" s="8">
        <v>13.263999919483467</v>
      </c>
      <c r="P367" s="15">
        <v>1.5569681058365379</v>
      </c>
      <c r="Q367" s="15">
        <v>1.3845054987276737</v>
      </c>
      <c r="R367" s="8">
        <v>3.8710158394504677</v>
      </c>
      <c r="S367" s="8">
        <v>0</v>
      </c>
      <c r="T367" s="8">
        <v>4.1990773511035107</v>
      </c>
      <c r="U367" s="8">
        <v>0</v>
      </c>
      <c r="V367" s="8">
        <v>6.2330758716274612</v>
      </c>
      <c r="W367" s="8">
        <v>0</v>
      </c>
      <c r="X367" s="8">
        <v>5980.2878038443532</v>
      </c>
      <c r="Y367" s="8">
        <v>3531.1246518390062</v>
      </c>
    </row>
    <row r="368" spans="1:25" x14ac:dyDescent="0.2">
      <c r="A368" s="6" t="str">
        <f t="shared" si="67"/>
        <v>14- Combined Electrification&amp;2030</v>
      </c>
      <c r="B368" s="6" t="str">
        <f>'Scenario List'!$A$16</f>
        <v>14- Combined Electrification</v>
      </c>
      <c r="C368" s="6">
        <v>2030</v>
      </c>
      <c r="D368" s="8">
        <v>795.59312632050046</v>
      </c>
      <c r="E368" s="8">
        <v>375.27943510488313</v>
      </c>
      <c r="F368" s="8">
        <v>1170.8725614253835</v>
      </c>
      <c r="G368" s="8">
        <v>330.1280659654534</v>
      </c>
      <c r="H368" s="8">
        <v>129.79183586337032</v>
      </c>
      <c r="I368" s="8">
        <v>459.91990182882375</v>
      </c>
      <c r="J368" s="12">
        <v>0.13149048608405847</v>
      </c>
      <c r="K368" s="12">
        <v>0.11881697788569318</v>
      </c>
      <c r="L368" s="8">
        <v>12.665776511302104</v>
      </c>
      <c r="M368" s="8">
        <v>9.0116218682485716</v>
      </c>
      <c r="N368" s="8">
        <v>21.894229052024542</v>
      </c>
      <c r="O368" s="8">
        <v>16.424978150687764</v>
      </c>
      <c r="P368" s="15">
        <v>1.4374771608559154</v>
      </c>
      <c r="Q368" s="15">
        <v>1.4482233725931652</v>
      </c>
      <c r="R368" s="8">
        <v>36.450332924712129</v>
      </c>
      <c r="S368" s="8">
        <v>0</v>
      </c>
      <c r="T368" s="8">
        <v>35.552678661693761</v>
      </c>
      <c r="U368" s="8">
        <v>0</v>
      </c>
      <c r="V368" s="8">
        <v>752.26298410679181</v>
      </c>
      <c r="W368" s="8">
        <v>0</v>
      </c>
      <c r="X368" s="8">
        <v>6050.575596867885</v>
      </c>
      <c r="Y368" s="8">
        <v>3549.7280607732905</v>
      </c>
    </row>
    <row r="369" spans="1:25" x14ac:dyDescent="0.2">
      <c r="A369" s="6" t="str">
        <f t="shared" si="67"/>
        <v>14- Combined Electrification&amp;2031</v>
      </c>
      <c r="B369" s="6" t="str">
        <f>'Scenario List'!$A$16</f>
        <v>14- Combined Electrification</v>
      </c>
      <c r="C369" s="6">
        <v>2031</v>
      </c>
      <c r="D369" s="8">
        <v>840.00804184550657</v>
      </c>
      <c r="E369" s="8">
        <v>389.79119066056336</v>
      </c>
      <c r="F369" s="8">
        <v>1229.79923250607</v>
      </c>
      <c r="G369" s="8">
        <v>340.69720497389926</v>
      </c>
      <c r="H369" s="8">
        <v>134.68776602055698</v>
      </c>
      <c r="I369" s="8">
        <v>475.38497099445624</v>
      </c>
      <c r="J369" s="12">
        <v>0.13650011267416309</v>
      </c>
      <c r="K369" s="12">
        <v>0.1225050044515673</v>
      </c>
      <c r="L369" s="8">
        <v>9.0502605103557237</v>
      </c>
      <c r="M369" s="8">
        <v>8.2853203648588245</v>
      </c>
      <c r="N369" s="8">
        <v>13.387621750035834</v>
      </c>
      <c r="O369" s="8">
        <v>14.595815804688442</v>
      </c>
      <c r="P369" s="15">
        <v>1.2290217338251976</v>
      </c>
      <c r="Q369" s="15">
        <v>1.3178533229172604</v>
      </c>
      <c r="R369" s="8">
        <v>87.213468718263243</v>
      </c>
      <c r="S369" s="8">
        <v>0</v>
      </c>
      <c r="T369" s="8">
        <v>85.122967443199087</v>
      </c>
      <c r="U369" s="8">
        <v>0</v>
      </c>
      <c r="V369" s="8">
        <v>1654.574912659501</v>
      </c>
      <c r="W369" s="8">
        <v>0</v>
      </c>
      <c r="X369" s="8">
        <v>6153.8999887177697</v>
      </c>
      <c r="Y369" s="8">
        <v>3573.0690443536323</v>
      </c>
    </row>
    <row r="370" spans="1:25" x14ac:dyDescent="0.2">
      <c r="A370" s="6" t="str">
        <f t="shared" si="67"/>
        <v>14- Combined Electrification&amp;2032</v>
      </c>
      <c r="B370" s="6" t="str">
        <f>'Scenario List'!$A$16</f>
        <v>14- Combined Electrification</v>
      </c>
      <c r="C370" s="6">
        <v>2032</v>
      </c>
      <c r="D370" s="8">
        <v>964.47992255904683</v>
      </c>
      <c r="E370" s="8">
        <v>402.5752447891814</v>
      </c>
      <c r="F370" s="8">
        <v>1367.0551673482282</v>
      </c>
      <c r="G370" s="8">
        <v>431.23890621122916</v>
      </c>
      <c r="H370" s="8">
        <v>137.52558374128301</v>
      </c>
      <c r="I370" s="8">
        <v>568.76448995251212</v>
      </c>
      <c r="J370" s="12">
        <v>0.15338328458769401</v>
      </c>
      <c r="K370" s="12">
        <v>0.12558232259272276</v>
      </c>
      <c r="L370" s="8">
        <v>11.369086831974746</v>
      </c>
      <c r="M370" s="8">
        <v>9.0121874682906018</v>
      </c>
      <c r="N370" s="8">
        <v>17.372685956054923</v>
      </c>
      <c r="O370" s="8">
        <v>17.910388702468524</v>
      </c>
      <c r="P370" s="15">
        <v>1.2977852748313459</v>
      </c>
      <c r="Q370" s="15">
        <v>1.2400831169937785</v>
      </c>
      <c r="R370" s="8">
        <v>502.12032087298263</v>
      </c>
      <c r="S370" s="8">
        <v>0</v>
      </c>
      <c r="T370" s="8">
        <v>508.62936705228344</v>
      </c>
      <c r="U370" s="8">
        <v>0</v>
      </c>
      <c r="V370" s="8">
        <v>736.55304375185904</v>
      </c>
      <c r="W370" s="8">
        <v>0</v>
      </c>
      <c r="X370" s="8">
        <v>6288.0380033042229</v>
      </c>
      <c r="Y370" s="8">
        <v>3597.6109414339421</v>
      </c>
    </row>
    <row r="371" spans="1:25" x14ac:dyDescent="0.2">
      <c r="A371" s="6" t="str">
        <f t="shared" si="67"/>
        <v>14- Combined Electrification&amp;2033</v>
      </c>
      <c r="B371" s="6" t="str">
        <f>'Scenario List'!$A$16</f>
        <v>14- Combined Electrification</v>
      </c>
      <c r="C371" s="6">
        <v>2033</v>
      </c>
      <c r="D371" s="8">
        <v>991.4374005634952</v>
      </c>
      <c r="E371" s="8">
        <v>414.54378934909539</v>
      </c>
      <c r="F371" s="8">
        <v>1405.9811899125907</v>
      </c>
      <c r="G371" s="8">
        <v>431.83970720022381</v>
      </c>
      <c r="H371" s="8">
        <v>139.06028831539172</v>
      </c>
      <c r="I371" s="8">
        <v>570.8999955156155</v>
      </c>
      <c r="J371" s="12">
        <v>0.1539171680340109</v>
      </c>
      <c r="K371" s="12">
        <v>0.12814216278379761</v>
      </c>
      <c r="L371" s="8">
        <v>12.327995683298802</v>
      </c>
      <c r="M371" s="8">
        <v>8.9790300761818553</v>
      </c>
      <c r="N371" s="8">
        <v>17.291404008200203</v>
      </c>
      <c r="O371" s="8">
        <v>16.229521258852785</v>
      </c>
      <c r="P371" s="15">
        <v>1.317304559014763</v>
      </c>
      <c r="Q371" s="15">
        <v>1.2104176768359198</v>
      </c>
      <c r="R371" s="8">
        <v>501.09663924003939</v>
      </c>
      <c r="S371" s="8">
        <v>0</v>
      </c>
      <c r="T371" s="8">
        <v>507.60639720778534</v>
      </c>
      <c r="U371" s="8">
        <v>0</v>
      </c>
      <c r="V371" s="8">
        <v>678.40022103250908</v>
      </c>
      <c r="W371" s="8">
        <v>0</v>
      </c>
      <c r="X371" s="8">
        <v>6441.3698174619376</v>
      </c>
      <c r="Y371" s="8">
        <v>3625.4406636315912</v>
      </c>
    </row>
    <row r="372" spans="1:25" x14ac:dyDescent="0.2">
      <c r="A372" s="6" t="str">
        <f t="shared" si="67"/>
        <v>14- Combined Electrification&amp;2034</v>
      </c>
      <c r="B372" s="6" t="str">
        <f>'Scenario List'!$A$16</f>
        <v>14- Combined Electrification</v>
      </c>
      <c r="C372" s="6">
        <v>2034</v>
      </c>
      <c r="D372" s="8">
        <v>1009.7713418533506</v>
      </c>
      <c r="E372" s="8">
        <v>427.15361403890716</v>
      </c>
      <c r="F372" s="8">
        <v>1436.9249558922577</v>
      </c>
      <c r="G372" s="8">
        <v>423.49943599134559</v>
      </c>
      <c r="H372" s="8">
        <v>140.86308910278143</v>
      </c>
      <c r="I372" s="8">
        <v>564.36252509412702</v>
      </c>
      <c r="J372" s="12">
        <v>0.15232495389714693</v>
      </c>
      <c r="K372" s="12">
        <v>0.1307980471700278</v>
      </c>
      <c r="L372" s="8">
        <v>11.308061154422409</v>
      </c>
      <c r="M372" s="8">
        <v>10.494303372283605</v>
      </c>
      <c r="N372" s="8">
        <v>17.530880615970275</v>
      </c>
      <c r="O372" s="8">
        <v>19.008447839929715</v>
      </c>
      <c r="P372" s="15">
        <v>1.4418969478852217</v>
      </c>
      <c r="Q372" s="15">
        <v>1.2919868723929047</v>
      </c>
      <c r="R372" s="8">
        <v>499.97704477964658</v>
      </c>
      <c r="S372" s="8">
        <v>91.097990669501598</v>
      </c>
      <c r="T372" s="8">
        <v>506.4273334323355</v>
      </c>
      <c r="U372" s="8">
        <v>85.930041637142537</v>
      </c>
      <c r="V372" s="8">
        <v>690.26617052608617</v>
      </c>
      <c r="W372" s="8">
        <v>202.47762468885784</v>
      </c>
      <c r="X372" s="8">
        <v>6629.0605447034623</v>
      </c>
      <c r="Y372" s="8">
        <v>3655.2198554263678</v>
      </c>
    </row>
    <row r="373" spans="1:25" x14ac:dyDescent="0.2">
      <c r="A373" s="6" t="str">
        <f t="shared" si="67"/>
        <v>14- Combined Electrification&amp;2035</v>
      </c>
      <c r="B373" s="6" t="str">
        <f>'Scenario List'!$A$16</f>
        <v>14- Combined Electrification</v>
      </c>
      <c r="C373" s="6">
        <v>2035</v>
      </c>
      <c r="D373" s="8">
        <v>1049.1443467287604</v>
      </c>
      <c r="E373" s="8">
        <v>442.49786451407488</v>
      </c>
      <c r="F373" s="8">
        <v>1491.6422112428354</v>
      </c>
      <c r="G373" s="8">
        <v>438.69621033896306</v>
      </c>
      <c r="H373" s="8">
        <v>145.18756840969186</v>
      </c>
      <c r="I373" s="8">
        <v>583.88377874865489</v>
      </c>
      <c r="J373" s="12">
        <v>0.15314114325008041</v>
      </c>
      <c r="K373" s="12">
        <v>0.13424422662950272</v>
      </c>
      <c r="L373" s="8">
        <v>12.443255211676762</v>
      </c>
      <c r="M373" s="8">
        <v>11.29607956396134</v>
      </c>
      <c r="N373" s="8">
        <v>19.89900122841388</v>
      </c>
      <c r="O373" s="8">
        <v>21.267608854007179</v>
      </c>
      <c r="P373" s="15">
        <v>1.3868896472906285</v>
      </c>
      <c r="Q373" s="15">
        <v>1.3027442555870297</v>
      </c>
      <c r="R373" s="8">
        <v>502.12875275508935</v>
      </c>
      <c r="S373" s="8">
        <v>92.845906326008048</v>
      </c>
      <c r="T373" s="8">
        <v>508.33975695847238</v>
      </c>
      <c r="U373" s="8">
        <v>87.578798805527555</v>
      </c>
      <c r="V373" s="8">
        <v>651.29693731034661</v>
      </c>
      <c r="W373" s="8">
        <v>208.7186595591358</v>
      </c>
      <c r="X373" s="8">
        <v>6850.8326662776799</v>
      </c>
      <c r="Y373" s="8">
        <v>3687.5477956586324</v>
      </c>
    </row>
    <row r="374" spans="1:25" x14ac:dyDescent="0.2">
      <c r="A374" s="6" t="str">
        <f t="shared" si="67"/>
        <v>14- Combined Electrification&amp;2036</v>
      </c>
      <c r="B374" s="6" t="str">
        <f>'Scenario List'!$A$16</f>
        <v>14- Combined Electrification</v>
      </c>
      <c r="C374" s="6">
        <v>2036</v>
      </c>
      <c r="D374" s="8">
        <v>1119.1980110943955</v>
      </c>
      <c r="E374" s="8">
        <v>457.68258759984593</v>
      </c>
      <c r="F374" s="8">
        <v>1576.8805986942414</v>
      </c>
      <c r="G374" s="8">
        <v>479.65387154667383</v>
      </c>
      <c r="H374" s="8">
        <v>148.849448018445</v>
      </c>
      <c r="I374" s="8">
        <v>628.50331956511877</v>
      </c>
      <c r="J374" s="12">
        <v>0.15733793055109341</v>
      </c>
      <c r="K374" s="12">
        <v>0.13743662686503977</v>
      </c>
      <c r="L374" s="8">
        <v>12.966862657855257</v>
      </c>
      <c r="M374" s="8">
        <v>11.651798562704359</v>
      </c>
      <c r="N374" s="8">
        <v>21.185897517047835</v>
      </c>
      <c r="O374" s="8">
        <v>20.440854744513643</v>
      </c>
      <c r="P374" s="15">
        <v>1.3630714039314034</v>
      </c>
      <c r="Q374" s="15">
        <v>1.2813116625527601</v>
      </c>
      <c r="R374" s="8">
        <v>674.4209722979125</v>
      </c>
      <c r="S374" s="8">
        <v>92.845906326008048</v>
      </c>
      <c r="T374" s="8">
        <v>670.75145883887126</v>
      </c>
      <c r="U374" s="8">
        <v>87.593189809681874</v>
      </c>
      <c r="V374" s="8">
        <v>620.56328492740556</v>
      </c>
      <c r="W374" s="8">
        <v>214.85909475618971</v>
      </c>
      <c r="X374" s="8">
        <v>7113.3388317380395</v>
      </c>
      <c r="Y374" s="8">
        <v>3722.3500528875247</v>
      </c>
    </row>
    <row r="375" spans="1:25" x14ac:dyDescent="0.2">
      <c r="A375" s="6" t="str">
        <f t="shared" si="67"/>
        <v>14- Combined Electrification&amp;2037</v>
      </c>
      <c r="B375" s="6" t="str">
        <f>'Scenario List'!$A$16</f>
        <v>14- Combined Electrification</v>
      </c>
      <c r="C375" s="6">
        <v>2037</v>
      </c>
      <c r="D375" s="8">
        <v>1189.5202925544293</v>
      </c>
      <c r="E375" s="8">
        <v>478.64792297873169</v>
      </c>
      <c r="F375" s="8">
        <v>1668.1682155331609</v>
      </c>
      <c r="G375" s="8">
        <v>521.37540789954403</v>
      </c>
      <c r="H375" s="8">
        <v>157.70559303983904</v>
      </c>
      <c r="I375" s="8">
        <v>679.0810009393831</v>
      </c>
      <c r="J375" s="12">
        <v>0.16130853692956268</v>
      </c>
      <c r="K375" s="12">
        <v>0.14204470614263026</v>
      </c>
      <c r="L375" s="8">
        <v>15.711117202974071</v>
      </c>
      <c r="M375" s="8">
        <v>12.598629307772995</v>
      </c>
      <c r="N375" s="8">
        <v>24.87453767544261</v>
      </c>
      <c r="O375" s="8">
        <v>23.005018773274543</v>
      </c>
      <c r="P375" s="15">
        <v>1.4216562294607247</v>
      </c>
      <c r="Q375" s="15">
        <v>1.2500494781121048</v>
      </c>
      <c r="R375" s="8">
        <v>797.85006321819355</v>
      </c>
      <c r="S375" s="8">
        <v>92.845906326008048</v>
      </c>
      <c r="T375" s="8">
        <v>787.04927236875517</v>
      </c>
      <c r="U375" s="8">
        <v>87.578798805527555</v>
      </c>
      <c r="V375" s="8">
        <v>576.32041414942285</v>
      </c>
      <c r="W375" s="8">
        <v>206.49515206658441</v>
      </c>
      <c r="X375" s="8">
        <v>7374.1930538607985</v>
      </c>
      <c r="Y375" s="8">
        <v>3761.4110732465629</v>
      </c>
    </row>
    <row r="376" spans="1:25" x14ac:dyDescent="0.2">
      <c r="A376" s="6" t="str">
        <f t="shared" si="67"/>
        <v>14- Combined Electrification&amp;2038</v>
      </c>
      <c r="B376" s="6" t="str">
        <f>'Scenario List'!$A$16</f>
        <v>14- Combined Electrification</v>
      </c>
      <c r="C376" s="6">
        <v>2038</v>
      </c>
      <c r="D376" s="8">
        <v>1263.8236017962649</v>
      </c>
      <c r="E376" s="8">
        <v>496.19465654429939</v>
      </c>
      <c r="F376" s="8">
        <v>1760.0182583405644</v>
      </c>
      <c r="G376" s="8">
        <v>562.51181510313324</v>
      </c>
      <c r="H376" s="8">
        <v>162.95599237843993</v>
      </c>
      <c r="I376" s="8">
        <v>725.46780748157312</v>
      </c>
      <c r="J376" s="12">
        <v>0.16517589860177281</v>
      </c>
      <c r="K376" s="12">
        <v>0.14539773769921055</v>
      </c>
      <c r="L376" s="8">
        <v>19.029700604025095</v>
      </c>
      <c r="M376" s="8">
        <v>14.747732030309619</v>
      </c>
      <c r="N376" s="8">
        <v>35.773295558030725</v>
      </c>
      <c r="O376" s="8">
        <v>27.973694364460613</v>
      </c>
      <c r="P376" s="15">
        <v>1.2463036837384525</v>
      </c>
      <c r="Q376" s="15">
        <v>1.2003001865390626</v>
      </c>
      <c r="R376" s="8">
        <v>946.65745268737396</v>
      </c>
      <c r="S376" s="8">
        <v>92.845906326008048</v>
      </c>
      <c r="T376" s="8">
        <v>927.302875715288</v>
      </c>
      <c r="U376" s="8">
        <v>87.578798805527555</v>
      </c>
      <c r="V376" s="8">
        <v>514.74078728798941</v>
      </c>
      <c r="W376" s="8">
        <v>207.58891852124918</v>
      </c>
      <c r="X376" s="8">
        <v>7651.3802103977205</v>
      </c>
      <c r="Y376" s="8">
        <v>3803.8419710523885</v>
      </c>
    </row>
    <row r="377" spans="1:25" x14ac:dyDescent="0.2">
      <c r="A377" s="6" t="str">
        <f t="shared" si="67"/>
        <v>14- Combined Electrification&amp;2039</v>
      </c>
      <c r="B377" s="6" t="str">
        <f>'Scenario List'!$A$16</f>
        <v>14- Combined Electrification</v>
      </c>
      <c r="C377" s="6">
        <v>2039</v>
      </c>
      <c r="D377" s="8">
        <v>1350.5145442052831</v>
      </c>
      <c r="E377" s="8">
        <v>522.19382301491464</v>
      </c>
      <c r="F377" s="8">
        <v>1872.7083672201977</v>
      </c>
      <c r="G377" s="8">
        <v>619.69836993849628</v>
      </c>
      <c r="H377" s="8">
        <v>176.03515252866012</v>
      </c>
      <c r="I377" s="8">
        <v>795.73352246715638</v>
      </c>
      <c r="J377" s="12">
        <v>0.17008277428845978</v>
      </c>
      <c r="K377" s="12">
        <v>0.15099228271254969</v>
      </c>
      <c r="L377" s="8">
        <v>19.682832664519594</v>
      </c>
      <c r="M377" s="8">
        <v>14.647396709714013</v>
      </c>
      <c r="N377" s="8">
        <v>34.09506931179925</v>
      </c>
      <c r="O377" s="8">
        <v>26.963040905064659</v>
      </c>
      <c r="P377" s="15">
        <v>1.4919919436968319</v>
      </c>
      <c r="Q377" s="15">
        <v>1.1861989027081368</v>
      </c>
      <c r="R377" s="8">
        <v>1073.6519921266097</v>
      </c>
      <c r="S377" s="8">
        <v>110.28990632600805</v>
      </c>
      <c r="T377" s="8">
        <v>1054.2438150995765</v>
      </c>
      <c r="U377" s="8">
        <v>105.02279880552757</v>
      </c>
      <c r="V377" s="8">
        <v>-176.83651586279976</v>
      </c>
      <c r="W377" s="8">
        <v>117.6507717338518</v>
      </c>
      <c r="X377" s="8">
        <v>7940.3369909454514</v>
      </c>
      <c r="Y377" s="8">
        <v>3850.156345348445</v>
      </c>
    </row>
    <row r="378" spans="1:25" x14ac:dyDescent="0.2">
      <c r="A378" s="6" t="str">
        <f t="shared" si="67"/>
        <v>14- Combined Electrification&amp;2040</v>
      </c>
      <c r="B378" s="6" t="str">
        <f>'Scenario List'!$A$16</f>
        <v>14- Combined Electrification</v>
      </c>
      <c r="C378" s="6">
        <v>2040</v>
      </c>
      <c r="D378" s="8">
        <v>1427.4773494347728</v>
      </c>
      <c r="E378" s="8">
        <v>540.24135720181039</v>
      </c>
      <c r="F378" s="8">
        <v>1967.7187066365832</v>
      </c>
      <c r="G378" s="8">
        <v>665.14190153081358</v>
      </c>
      <c r="H378" s="8">
        <v>180.68819361011583</v>
      </c>
      <c r="I378" s="8">
        <v>845.83009514092942</v>
      </c>
      <c r="J378" s="12">
        <v>0.17326800244176119</v>
      </c>
      <c r="K378" s="12">
        <v>0.15401407492889671</v>
      </c>
      <c r="L378" s="8">
        <v>25.565327033901855</v>
      </c>
      <c r="M378" s="8">
        <v>16.141879827504869</v>
      </c>
      <c r="N378" s="8">
        <v>44.8546615914901</v>
      </c>
      <c r="O378" s="8">
        <v>31.7047028036</v>
      </c>
      <c r="P378" s="15">
        <v>1.9564262622721746</v>
      </c>
      <c r="Q378" s="15">
        <v>1.1713904636155794</v>
      </c>
      <c r="R378" s="8">
        <v>1257.0323274546377</v>
      </c>
      <c r="S378" s="8">
        <v>128.26661424472746</v>
      </c>
      <c r="T378" s="8">
        <v>1237.6220454246561</v>
      </c>
      <c r="U378" s="8">
        <v>123.01389772840132</v>
      </c>
      <c r="V378" s="8">
        <v>-1228.1429477206466</v>
      </c>
      <c r="W378" s="8">
        <v>27.188786366614</v>
      </c>
      <c r="X378" s="8">
        <v>8238.5514308366091</v>
      </c>
      <c r="Y378" s="8">
        <v>3900.8080956561917</v>
      </c>
    </row>
    <row r="379" spans="1:25" x14ac:dyDescent="0.2">
      <c r="A379" s="6" t="str">
        <f t="shared" si="67"/>
        <v>14- Combined Electrification&amp;2041</v>
      </c>
      <c r="B379" s="6" t="str">
        <f>'Scenario List'!$A$16</f>
        <v>14- Combined Electrification</v>
      </c>
      <c r="C379" s="6">
        <v>2041</v>
      </c>
      <c r="D379" s="8">
        <v>1518.66194013569</v>
      </c>
      <c r="E379" s="8">
        <v>549.00970901985397</v>
      </c>
      <c r="F379" s="8">
        <v>2067.6716491555439</v>
      </c>
      <c r="G379" s="8">
        <v>718.25631256259965</v>
      </c>
      <c r="H379" s="8">
        <v>175.81365011006753</v>
      </c>
      <c r="I379" s="8">
        <v>894.0699626726672</v>
      </c>
      <c r="J379" s="12">
        <v>0.17852284974722607</v>
      </c>
      <c r="K379" s="12">
        <v>0.15398468265810844</v>
      </c>
      <c r="L379" s="8">
        <v>27.96243825220526</v>
      </c>
      <c r="M379" s="8">
        <v>16.19392394970188</v>
      </c>
      <c r="N379" s="8">
        <v>43.315090186798955</v>
      </c>
      <c r="O379" s="8">
        <v>28.667177295569715</v>
      </c>
      <c r="P379" s="15">
        <v>2.2208160675131126</v>
      </c>
      <c r="Q379" s="15">
        <v>1.1804729787515107</v>
      </c>
      <c r="R379" s="8">
        <v>1422.9356269937696</v>
      </c>
      <c r="S379" s="8">
        <v>173.4856705447275</v>
      </c>
      <c r="T379" s="8">
        <v>1408.5798533219734</v>
      </c>
      <c r="U379" s="8">
        <v>168.218563024247</v>
      </c>
      <c r="V379" s="8">
        <v>-1323.5573516521054</v>
      </c>
      <c r="W379" s="8">
        <v>139.1005347371659</v>
      </c>
      <c r="X379" s="8">
        <v>8506.8210724060955</v>
      </c>
      <c r="Y379" s="8">
        <v>3957.2908411833823</v>
      </c>
    </row>
    <row r="380" spans="1:25" x14ac:dyDescent="0.2">
      <c r="A380" s="6" t="str">
        <f t="shared" si="67"/>
        <v>14- Combined Electrification&amp;2042</v>
      </c>
      <c r="B380" s="6" t="str">
        <f>'Scenario List'!$A$16</f>
        <v>14- Combined Electrification</v>
      </c>
      <c r="C380" s="6">
        <v>2042</v>
      </c>
      <c r="D380" s="8">
        <v>1689.7855077620607</v>
      </c>
      <c r="E380" s="8">
        <v>604.38502299012703</v>
      </c>
      <c r="F380" s="8">
        <v>2294.1705307521879</v>
      </c>
      <c r="G380" s="8">
        <v>806.777457670226</v>
      </c>
      <c r="H380" s="8">
        <v>216.02973387866791</v>
      </c>
      <c r="I380" s="8">
        <v>1022.8071915488939</v>
      </c>
      <c r="J380" s="12">
        <v>0.19255744952236684</v>
      </c>
      <c r="K380" s="12">
        <v>0.16661843205964552</v>
      </c>
      <c r="L380" s="8">
        <v>29.937607141140937</v>
      </c>
      <c r="M380" s="8">
        <v>21.979837212175909</v>
      </c>
      <c r="N380" s="8">
        <v>46.293993663216455</v>
      </c>
      <c r="O380" s="8">
        <v>41.925851610677938</v>
      </c>
      <c r="P380" s="15">
        <v>1.8648466838945106</v>
      </c>
      <c r="Q380" s="15">
        <v>0.98784104111272453</v>
      </c>
      <c r="R380" s="8">
        <v>1753.4284930092051</v>
      </c>
      <c r="S380" s="8">
        <v>314.5544730248248</v>
      </c>
      <c r="T380" s="8">
        <v>1734.2535505488049</v>
      </c>
      <c r="U380" s="8">
        <v>301.28459424764372</v>
      </c>
      <c r="V380" s="8">
        <v>-688.9682899316515</v>
      </c>
      <c r="W380" s="8">
        <v>471.82336687590515</v>
      </c>
      <c r="X380" s="8">
        <v>8775.4875854116508</v>
      </c>
      <c r="Y380" s="8">
        <v>4018.9287451859036</v>
      </c>
    </row>
    <row r="381" spans="1:25" x14ac:dyDescent="0.2">
      <c r="A381" s="6" t="str">
        <f t="shared" si="67"/>
        <v>14- Combined Electrification&amp;2043</v>
      </c>
      <c r="B381" s="6" t="str">
        <f>'Scenario List'!$A$16</f>
        <v>14- Combined Electrification</v>
      </c>
      <c r="C381" s="6">
        <v>2043</v>
      </c>
      <c r="D381" s="8">
        <v>1869.0068884845607</v>
      </c>
      <c r="E381" s="8">
        <v>657.86949160084419</v>
      </c>
      <c r="F381" s="8">
        <v>2526.8763800854049</v>
      </c>
      <c r="G381" s="8">
        <v>954.62767517965904</v>
      </c>
      <c r="H381" s="8">
        <v>254.3752006761836</v>
      </c>
      <c r="I381" s="8">
        <v>1209.0028758558426</v>
      </c>
      <c r="J381" s="12">
        <v>0.20687472858979933</v>
      </c>
      <c r="K381" s="12">
        <v>0.17805016749672409</v>
      </c>
      <c r="L381" s="8">
        <v>31.192433344120875</v>
      </c>
      <c r="M381" s="8">
        <v>22.451072288378228</v>
      </c>
      <c r="N381" s="8">
        <v>47.009560944963773</v>
      </c>
      <c r="O381" s="8">
        <v>44.046681581690592</v>
      </c>
      <c r="P381" s="15">
        <v>1.9096193751106518</v>
      </c>
      <c r="Q381" s="15">
        <v>0.99341465133577689</v>
      </c>
      <c r="R381" s="8">
        <v>1896.5641865355144</v>
      </c>
      <c r="S381" s="8">
        <v>331.99847302482482</v>
      </c>
      <c r="T381" s="8">
        <v>1884.5902642906592</v>
      </c>
      <c r="U381" s="8">
        <v>318.72859424764374</v>
      </c>
      <c r="V381" s="8">
        <v>-39.265056332304638</v>
      </c>
      <c r="W381" s="8">
        <v>391.23716940347128</v>
      </c>
      <c r="X381" s="8">
        <v>9034.4862382418542</v>
      </c>
      <c r="Y381" s="8">
        <v>4086.4779740202625</v>
      </c>
    </row>
    <row r="382" spans="1:25" x14ac:dyDescent="0.2">
      <c r="A382" s="6" t="str">
        <f t="shared" si="67"/>
        <v>14- Combined Electrification&amp;2044</v>
      </c>
      <c r="B382" s="6" t="str">
        <f>'Scenario List'!$A$16</f>
        <v>14- Combined Electrification</v>
      </c>
      <c r="C382" s="6">
        <v>2044</v>
      </c>
      <c r="D382" s="8">
        <v>1960.8618216729787</v>
      </c>
      <c r="E382" s="8">
        <v>688.75066850425992</v>
      </c>
      <c r="F382" s="8">
        <v>2649.6124901772387</v>
      </c>
      <c r="G382" s="8">
        <v>1016.3097645926335</v>
      </c>
      <c r="H382" s="8">
        <v>269.61342407602012</v>
      </c>
      <c r="I382" s="8">
        <v>1285.9231886686537</v>
      </c>
      <c r="J382" s="12">
        <v>0.2108071330823981</v>
      </c>
      <c r="K382" s="12">
        <v>0.18279435174124753</v>
      </c>
      <c r="L382" s="8">
        <v>41.720853728417524</v>
      </c>
      <c r="M382" s="8">
        <v>27.241265785918262</v>
      </c>
      <c r="N382" s="8">
        <v>55.583367285539339</v>
      </c>
      <c r="O382" s="8">
        <v>46.520123230722149</v>
      </c>
      <c r="P382" s="15">
        <v>1.9788183618821718</v>
      </c>
      <c r="Q382" s="15">
        <v>1.0985956546144486</v>
      </c>
      <c r="R382" s="8">
        <v>2040.5711231573562</v>
      </c>
      <c r="S382" s="8">
        <v>351.41381403930194</v>
      </c>
      <c r="T382" s="8">
        <v>2035.6937780482135</v>
      </c>
      <c r="U382" s="8">
        <v>338.18019176151205</v>
      </c>
      <c r="V382" s="8">
        <v>387.78935260550429</v>
      </c>
      <c r="W382" s="8">
        <v>395.85986090674913</v>
      </c>
      <c r="X382" s="8">
        <v>9301.6862997066492</v>
      </c>
      <c r="Y382" s="8">
        <v>4160.8890237824307</v>
      </c>
    </row>
    <row r="383" spans="1:25" x14ac:dyDescent="0.2">
      <c r="A383" s="6" t="str">
        <f t="shared" si="67"/>
        <v>14- Combined Electrification&amp;2045</v>
      </c>
      <c r="B383" s="6" t="str">
        <f>'Scenario List'!$A$16</f>
        <v>14- Combined Electrification</v>
      </c>
      <c r="C383" s="6">
        <v>2045</v>
      </c>
      <c r="D383" s="8">
        <v>2595.1700401475255</v>
      </c>
      <c r="E383" s="8">
        <v>752.34287615056314</v>
      </c>
      <c r="F383" s="8">
        <v>3347.5129162980884</v>
      </c>
      <c r="G383" s="8">
        <v>1517.2679520749377</v>
      </c>
      <c r="H383" s="8">
        <v>316.79790059205823</v>
      </c>
      <c r="I383" s="8">
        <v>1834.0658526669959</v>
      </c>
      <c r="J383" s="12">
        <v>0.27260001890822932</v>
      </c>
      <c r="K383" s="12">
        <v>0.19535094624583896</v>
      </c>
      <c r="L383" s="8">
        <v>56.234599435024172</v>
      </c>
      <c r="M383" s="8">
        <v>24.63456740120829</v>
      </c>
      <c r="N383" s="8">
        <v>74.951659413887128</v>
      </c>
      <c r="O383" s="8">
        <v>48.149980393946706</v>
      </c>
      <c r="P383" s="15">
        <v>1.3199138109677266</v>
      </c>
      <c r="Q383" s="15">
        <v>0.54238418225718488</v>
      </c>
      <c r="R383" s="8">
        <v>2483.5847908435708</v>
      </c>
      <c r="S383" s="8">
        <v>440.952198990032</v>
      </c>
      <c r="T383" s="8">
        <v>2478.4125971196927</v>
      </c>
      <c r="U383" s="8">
        <v>427.78147870097234</v>
      </c>
      <c r="V383" s="8">
        <v>2123.4175734077376</v>
      </c>
      <c r="W383" s="8">
        <v>-104.67954633060994</v>
      </c>
      <c r="X383" s="8">
        <v>9520.0655177547451</v>
      </c>
      <c r="Y383" s="8">
        <v>4243.0277837654558</v>
      </c>
    </row>
    <row r="384" spans="1:25" x14ac:dyDescent="0.2">
      <c r="A384" s="6" t="str">
        <f t="shared" si="67"/>
        <v>14- Combined Electrification&amp;NPV</v>
      </c>
      <c r="B384" s="6" t="str">
        <f>'Scenario List'!$A$16</f>
        <v>14- Combined Electrification</v>
      </c>
      <c r="C384" s="3" t="s">
        <v>6</v>
      </c>
      <c r="D384" s="16">
        <f t="shared" ref="D384:E384" si="68">NPV($B$1,D360:D383)</f>
        <v>11548.556920345309</v>
      </c>
      <c r="E384" s="16">
        <f t="shared" si="68"/>
        <v>4877.4223608219872</v>
      </c>
      <c r="F384" s="16">
        <f>NPV($B$1,F360:F383)</f>
        <v>16425.9792811673</v>
      </c>
      <c r="G384" s="16">
        <f t="shared" ref="G384:I384" si="69">NPV($B$1,G360:G383)</f>
        <v>5563.6004889446267</v>
      </c>
      <c r="H384" s="16">
        <f t="shared" si="69"/>
        <v>1746.8918265606746</v>
      </c>
      <c r="I384" s="16">
        <f t="shared" si="69"/>
        <v>7310.4923155053038</v>
      </c>
      <c r="L384" s="52">
        <f t="shared" ref="L384:Q384" si="70">NPV($B$1,L360:L383)</f>
        <v>191.83030583710192</v>
      </c>
      <c r="M384" s="52">
        <f t="shared" si="70"/>
        <v>124.41564419725086</v>
      </c>
      <c r="N384" s="52">
        <f t="shared" si="70"/>
        <v>307.71271146476573</v>
      </c>
      <c r="O384" s="52">
        <f t="shared" si="70"/>
        <v>224.43409845294295</v>
      </c>
      <c r="P384" s="52">
        <f t="shared" si="70"/>
        <v>20.064720052393831</v>
      </c>
      <c r="Q384" s="52">
        <f t="shared" si="70"/>
        <v>19.23957604471315</v>
      </c>
      <c r="X384" s="52">
        <f>-PMT($B$1,22,NPV($B$1,X362:X383))</f>
        <v>6696.7631282703233</v>
      </c>
      <c r="Y384" s="52">
        <f>-PMT($B$1,22,NPV($B$1,Y362:Y383))</f>
        <v>3653.4526131942589</v>
      </c>
    </row>
    <row r="385" spans="1:25" x14ac:dyDescent="0.2">
      <c r="A385" s="6" t="str">
        <f t="shared" si="67"/>
        <v>14- Combined Electrification&amp;Levelized</v>
      </c>
      <c r="B385" s="6" t="str">
        <f>'Scenario List'!$A$16</f>
        <v>14- Combined Electrification</v>
      </c>
      <c r="C385" s="3" t="s">
        <v>7</v>
      </c>
      <c r="D385" s="16">
        <f t="shared" ref="D385:I385" si="71">-PMT($B$1,COUNT(D360:D383),D384)</f>
        <v>982.03335764211101</v>
      </c>
      <c r="E385" s="16">
        <f t="shared" si="71"/>
        <v>414.75237907850311</v>
      </c>
      <c r="F385" s="16">
        <f t="shared" si="71"/>
        <v>1396.7857367206143</v>
      </c>
      <c r="G385" s="16">
        <f t="shared" si="71"/>
        <v>473.10164433724037</v>
      </c>
      <c r="H385" s="16">
        <f t="shared" si="71"/>
        <v>148.54722176176838</v>
      </c>
      <c r="I385" s="16">
        <f t="shared" si="71"/>
        <v>621.64886609900896</v>
      </c>
      <c r="L385" s="52">
        <f t="shared" ref="L385:Q385" si="72">-PMT($B$1,COUNT(L360:L383),L384)</f>
        <v>16.31232028712116</v>
      </c>
      <c r="M385" s="52">
        <f t="shared" si="72"/>
        <v>10.579703910796434</v>
      </c>
      <c r="N385" s="52">
        <f t="shared" si="72"/>
        <v>26.166398911411914</v>
      </c>
      <c r="O385" s="52">
        <f t="shared" si="72"/>
        <v>19.084788930194193</v>
      </c>
      <c r="P385" s="52">
        <f t="shared" si="72"/>
        <v>1.70620663162581</v>
      </c>
      <c r="Q385" s="52">
        <f t="shared" si="72"/>
        <v>1.6360403808994208</v>
      </c>
    </row>
    <row r="386" spans="1:25" ht="15" x14ac:dyDescent="0.25">
      <c r="C386" s="2"/>
      <c r="D386" s="53"/>
      <c r="E386" s="53"/>
      <c r="F386" s="53"/>
      <c r="G386" s="53"/>
      <c r="H386" s="53"/>
      <c r="I386" s="53"/>
      <c r="J386" s="54"/>
      <c r="K386" s="54"/>
      <c r="L386" s="47"/>
      <c r="M386" s="47"/>
      <c r="N386" s="47"/>
      <c r="O386" s="47"/>
      <c r="P386" s="54"/>
      <c r="Q386" s="48"/>
    </row>
    <row r="387" spans="1:25" ht="15" x14ac:dyDescent="0.25">
      <c r="C387" s="2"/>
      <c r="D387" s="53"/>
      <c r="E387" s="53"/>
      <c r="F387" s="53"/>
      <c r="G387" s="53"/>
      <c r="H387" s="53"/>
      <c r="I387" s="53"/>
      <c r="J387" s="54"/>
      <c r="K387" s="54"/>
      <c r="L387" s="47"/>
      <c r="M387" s="47"/>
      <c r="N387" s="47"/>
      <c r="O387" s="47"/>
      <c r="P387" s="54"/>
      <c r="Q387" s="48"/>
      <c r="X387" s="52"/>
      <c r="Y387" s="52"/>
    </row>
    <row r="388" spans="1:25" x14ac:dyDescent="0.2">
      <c r="A388" s="6" t="str">
        <f t="shared" ref="A388:A412" si="73">B388&amp;"&amp;"&amp;C388</f>
        <v>15- Clean Portfolio by 2045&amp;2023</v>
      </c>
      <c r="B388" s="6" t="str">
        <f>'Scenario List'!$A$17</f>
        <v>15- Clean Portfolio by 2045</v>
      </c>
      <c r="C388" s="6">
        <v>2023</v>
      </c>
      <c r="D388" s="8">
        <v>644.35154495724316</v>
      </c>
      <c r="E388" s="8">
        <v>316.40508989059435</v>
      </c>
      <c r="F388" s="8">
        <v>960.75663484783752</v>
      </c>
      <c r="G388" s="8">
        <v>410.76835836748177</v>
      </c>
      <c r="H388" s="8">
        <v>125.83982931648718</v>
      </c>
      <c r="I388" s="8">
        <v>536.60818768396894</v>
      </c>
      <c r="J388" s="12">
        <v>0.11228499615040641</v>
      </c>
      <c r="K388" s="12">
        <v>0.10244200424070973</v>
      </c>
      <c r="L388" s="8">
        <v>16.80752865809793</v>
      </c>
      <c r="M388" s="8">
        <v>9.4368871232334044</v>
      </c>
      <c r="N388" s="8">
        <v>27.712307151385573</v>
      </c>
      <c r="O388" s="8">
        <v>15.745088616814215</v>
      </c>
      <c r="P388" s="15">
        <v>2.5071495936225858</v>
      </c>
      <c r="Q388" s="15">
        <v>2.8792050200375625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5738.5364656746351</v>
      </c>
      <c r="Y388" s="8">
        <v>3474.480313196209</v>
      </c>
    </row>
    <row r="389" spans="1:25" x14ac:dyDescent="0.2">
      <c r="A389" s="6" t="str">
        <f t="shared" si="73"/>
        <v>15- Clean Portfolio by 2045&amp;2024</v>
      </c>
      <c r="B389" s="6" t="str">
        <f>'Scenario List'!$A$17</f>
        <v>15- Clean Portfolio by 2045</v>
      </c>
      <c r="C389" s="6">
        <v>2024</v>
      </c>
      <c r="D389" s="8">
        <v>657.51202923951519</v>
      </c>
      <c r="E389" s="8">
        <v>322.04636416512665</v>
      </c>
      <c r="F389" s="8">
        <v>979.55839340464183</v>
      </c>
      <c r="G389" s="8">
        <v>417.63685100036719</v>
      </c>
      <c r="H389" s="8">
        <v>127.07577092982534</v>
      </c>
      <c r="I389" s="8">
        <v>544.71262193019254</v>
      </c>
      <c r="J389" s="12">
        <v>0.11357093334512991</v>
      </c>
      <c r="K389" s="12">
        <v>0.10397062899043438</v>
      </c>
      <c r="L389" s="8">
        <v>13.116546609753959</v>
      </c>
      <c r="M389" s="8">
        <v>7.2863186858362701</v>
      </c>
      <c r="N389" s="8">
        <v>22.189697037370706</v>
      </c>
      <c r="O389" s="8">
        <v>12.608714541562136</v>
      </c>
      <c r="P389" s="15">
        <v>2.4532169693564638</v>
      </c>
      <c r="Q389" s="15">
        <v>2.9672417086309277</v>
      </c>
      <c r="R389" s="8">
        <v>1.0380200044495549E-2</v>
      </c>
      <c r="S389" s="8">
        <v>0</v>
      </c>
      <c r="T389" s="8">
        <v>0.1141608509788196</v>
      </c>
      <c r="U389" s="8">
        <v>0</v>
      </c>
      <c r="V389" s="8">
        <v>0.97729443319809883</v>
      </c>
      <c r="W389" s="8">
        <v>0</v>
      </c>
      <c r="X389" s="8">
        <v>5789.4393386854235</v>
      </c>
      <c r="Y389" s="8">
        <v>3485.2347141929699</v>
      </c>
    </row>
    <row r="390" spans="1:25" x14ac:dyDescent="0.2">
      <c r="A390" s="6" t="str">
        <f t="shared" si="73"/>
        <v>15- Clean Portfolio by 2045&amp;2025</v>
      </c>
      <c r="B390" s="6" t="str">
        <f>'Scenario List'!$A$17</f>
        <v>15- Clean Portfolio by 2045</v>
      </c>
      <c r="C390" s="6">
        <v>2025</v>
      </c>
      <c r="D390" s="8">
        <v>681.54802841538776</v>
      </c>
      <c r="E390" s="8">
        <v>329.74900038486419</v>
      </c>
      <c r="F390" s="8">
        <v>1011.297028800252</v>
      </c>
      <c r="G390" s="8">
        <v>413.04781634722343</v>
      </c>
      <c r="H390" s="8">
        <v>127.23574596255716</v>
      </c>
      <c r="I390" s="8">
        <v>540.28356230978056</v>
      </c>
      <c r="J390" s="12">
        <v>0.11702188390976981</v>
      </c>
      <c r="K390" s="12">
        <v>0.10618233768345287</v>
      </c>
      <c r="L390" s="8">
        <v>10.308196615808438</v>
      </c>
      <c r="M390" s="8">
        <v>5.647094872443299</v>
      </c>
      <c r="N390" s="8">
        <v>17.594362995565945</v>
      </c>
      <c r="O390" s="8">
        <v>9.5947318795229961</v>
      </c>
      <c r="P390" s="15">
        <v>2.267704348036649</v>
      </c>
      <c r="Q390" s="15">
        <v>2.7196586755011132</v>
      </c>
      <c r="R390" s="8">
        <v>0.45467047553924272</v>
      </c>
      <c r="S390" s="8">
        <v>0</v>
      </c>
      <c r="T390" s="8">
        <v>0.55975956888743938</v>
      </c>
      <c r="U390" s="8">
        <v>0</v>
      </c>
      <c r="V390" s="8">
        <v>1.9714226177824072</v>
      </c>
      <c r="W390" s="8">
        <v>0</v>
      </c>
      <c r="X390" s="8">
        <v>5824.1074715640207</v>
      </c>
      <c r="Y390" s="8">
        <v>3496.5535389023948</v>
      </c>
    </row>
    <row r="391" spans="1:25" x14ac:dyDescent="0.2">
      <c r="A391" s="6" t="str">
        <f t="shared" si="73"/>
        <v>15- Clean Portfolio by 2045&amp;2026</v>
      </c>
      <c r="B391" s="6" t="str">
        <f>'Scenario List'!$A$17</f>
        <v>15- Clean Portfolio by 2045</v>
      </c>
      <c r="C391" s="6">
        <v>2026</v>
      </c>
      <c r="D391" s="8">
        <v>690.89537487738744</v>
      </c>
      <c r="E391" s="8">
        <v>339.70159326759665</v>
      </c>
      <c r="F391" s="8">
        <v>1030.5969681449842</v>
      </c>
      <c r="G391" s="8">
        <v>312.12470538362345</v>
      </c>
      <c r="H391" s="8">
        <v>129.29073218068493</v>
      </c>
      <c r="I391" s="8">
        <v>441.41543756430838</v>
      </c>
      <c r="J391" s="12">
        <v>0.11927261349846675</v>
      </c>
      <c r="K391" s="12">
        <v>0.11034740050396617</v>
      </c>
      <c r="L391" s="8">
        <v>13.337663786602434</v>
      </c>
      <c r="M391" s="8">
        <v>7.1869107390806191</v>
      </c>
      <c r="N391" s="8">
        <v>23.104076301854093</v>
      </c>
      <c r="O391" s="8">
        <v>12.537540409756616</v>
      </c>
      <c r="P391" s="15">
        <v>1.357664703805691</v>
      </c>
      <c r="Q391" s="15">
        <v>1.4922093815351607</v>
      </c>
      <c r="R391" s="8">
        <v>1.4307627098382936</v>
      </c>
      <c r="S391" s="8">
        <v>0</v>
      </c>
      <c r="T391" s="8">
        <v>1.5898481240728615</v>
      </c>
      <c r="U391" s="8">
        <v>0</v>
      </c>
      <c r="V391" s="8">
        <v>2.9826784510598645</v>
      </c>
      <c r="W391" s="8">
        <v>0</v>
      </c>
      <c r="X391" s="8">
        <v>5792.5734551483511</v>
      </c>
      <c r="Y391" s="8">
        <v>3470.832862483795</v>
      </c>
    </row>
    <row r="392" spans="1:25" x14ac:dyDescent="0.2">
      <c r="A392" s="6" t="str">
        <f t="shared" si="73"/>
        <v>15- Clean Portfolio by 2045&amp;2027</v>
      </c>
      <c r="B392" s="6" t="str">
        <f>'Scenario List'!$A$17</f>
        <v>15- Clean Portfolio by 2045</v>
      </c>
      <c r="C392" s="6">
        <v>2027</v>
      </c>
      <c r="D392" s="8">
        <v>710.4750677919825</v>
      </c>
      <c r="E392" s="8">
        <v>344.10312922899328</v>
      </c>
      <c r="F392" s="8">
        <v>1054.5781970209757</v>
      </c>
      <c r="G392" s="8">
        <v>309.77102873764659</v>
      </c>
      <c r="H392" s="8">
        <v>125.37769290131837</v>
      </c>
      <c r="I392" s="8">
        <v>435.14872163896496</v>
      </c>
      <c r="J392" s="12">
        <v>0.12185727641345324</v>
      </c>
      <c r="K392" s="12">
        <v>0.1110454412579422</v>
      </c>
      <c r="L392" s="8">
        <v>10.959971944002524</v>
      </c>
      <c r="M392" s="8">
        <v>6.0064667206172278</v>
      </c>
      <c r="N392" s="8">
        <v>16.100925829056393</v>
      </c>
      <c r="O392" s="8">
        <v>8.7303604231008904</v>
      </c>
      <c r="P392" s="15">
        <v>1.5322265533850035</v>
      </c>
      <c r="Q392" s="15">
        <v>1.4329042999731518</v>
      </c>
      <c r="R392" s="8">
        <v>3.1283509710090693</v>
      </c>
      <c r="S392" s="8">
        <v>0</v>
      </c>
      <c r="T392" s="8">
        <v>3.3425748974627778</v>
      </c>
      <c r="U392" s="8">
        <v>0</v>
      </c>
      <c r="V392" s="8">
        <v>4.0266198386112295</v>
      </c>
      <c r="W392" s="8">
        <v>0</v>
      </c>
      <c r="X392" s="8">
        <v>5830.386897712945</v>
      </c>
      <c r="Y392" s="8">
        <v>3490.0365603218615</v>
      </c>
    </row>
    <row r="393" spans="1:25" x14ac:dyDescent="0.2">
      <c r="A393" s="6" t="str">
        <f t="shared" si="73"/>
        <v>15- Clean Portfolio by 2045&amp;2028</v>
      </c>
      <c r="B393" s="6" t="str">
        <f>'Scenario List'!$A$17</f>
        <v>15- Clean Portfolio by 2045</v>
      </c>
      <c r="C393" s="6">
        <v>2028</v>
      </c>
      <c r="D393" s="8">
        <v>737.31753648902827</v>
      </c>
      <c r="E393" s="8">
        <v>352.89420147610531</v>
      </c>
      <c r="F393" s="8">
        <v>1090.2117379651336</v>
      </c>
      <c r="G393" s="8">
        <v>315.45709092119114</v>
      </c>
      <c r="H393" s="8">
        <v>125.52434720804845</v>
      </c>
      <c r="I393" s="8">
        <v>440.98143812923956</v>
      </c>
      <c r="J393" s="12">
        <v>0.12561046813882029</v>
      </c>
      <c r="K393" s="12">
        <v>0.11317964739577419</v>
      </c>
      <c r="L393" s="8">
        <v>13.167501834525384</v>
      </c>
      <c r="M393" s="8">
        <v>7.2524289347308937</v>
      </c>
      <c r="N393" s="8">
        <v>25.24837019109637</v>
      </c>
      <c r="O393" s="8">
        <v>14.065153205952853</v>
      </c>
      <c r="P393" s="15">
        <v>1.5730832543333051</v>
      </c>
      <c r="Q393" s="15">
        <v>1.4184150619134281</v>
      </c>
      <c r="R393" s="8">
        <v>3.7086057963520349</v>
      </c>
      <c r="S393" s="8">
        <v>0</v>
      </c>
      <c r="T393" s="8">
        <v>3.978472245576107</v>
      </c>
      <c r="U393" s="8">
        <v>0</v>
      </c>
      <c r="V393" s="8">
        <v>5.0761915758613894</v>
      </c>
      <c r="W393" s="8">
        <v>0</v>
      </c>
      <c r="X393" s="8">
        <v>5869.8733267530761</v>
      </c>
      <c r="Y393" s="8">
        <v>3507.5538555479866</v>
      </c>
    </row>
    <row r="394" spans="1:25" x14ac:dyDescent="0.2">
      <c r="A394" s="6" t="str">
        <f t="shared" si="73"/>
        <v>15- Clean Portfolio by 2045&amp;2029</v>
      </c>
      <c r="B394" s="6" t="str">
        <f>'Scenario List'!$A$17</f>
        <v>15- Clean Portfolio by 2045</v>
      </c>
      <c r="C394" s="6">
        <v>2029</v>
      </c>
      <c r="D394" s="8">
        <v>762.47852626239205</v>
      </c>
      <c r="E394" s="8">
        <v>363.78673696118528</v>
      </c>
      <c r="F394" s="8">
        <v>1126.2652632235772</v>
      </c>
      <c r="G394" s="8">
        <v>317.34456818854648</v>
      </c>
      <c r="H394" s="8">
        <v>127.41207453607757</v>
      </c>
      <c r="I394" s="8">
        <v>444.75664272462404</v>
      </c>
      <c r="J394" s="12">
        <v>0.12911513134393793</v>
      </c>
      <c r="K394" s="12">
        <v>0.11586271902555632</v>
      </c>
      <c r="L394" s="8">
        <v>14.709184742050345</v>
      </c>
      <c r="M394" s="8">
        <v>8.1429881378224156</v>
      </c>
      <c r="N394" s="8">
        <v>23.931304430497192</v>
      </c>
      <c r="O394" s="8">
        <v>13.318117073739288</v>
      </c>
      <c r="P394" s="15">
        <v>1.5569681058365379</v>
      </c>
      <c r="Q394" s="15">
        <v>1.3845054987276737</v>
      </c>
      <c r="R394" s="8">
        <v>3.8710158394504672</v>
      </c>
      <c r="S394" s="8">
        <v>0</v>
      </c>
      <c r="T394" s="8">
        <v>4.1990773511035089</v>
      </c>
      <c r="U394" s="8">
        <v>0</v>
      </c>
      <c r="V394" s="8">
        <v>6.2330758716274346</v>
      </c>
      <c r="W394" s="8">
        <v>0</v>
      </c>
      <c r="X394" s="8">
        <v>5905.4157194891095</v>
      </c>
      <c r="Y394" s="8">
        <v>3527.216755749836</v>
      </c>
    </row>
    <row r="395" spans="1:25" x14ac:dyDescent="0.2">
      <c r="A395" s="6" t="str">
        <f t="shared" si="73"/>
        <v>15- Clean Portfolio by 2045&amp;2030</v>
      </c>
      <c r="B395" s="6" t="str">
        <f>'Scenario List'!$A$17</f>
        <v>15- Clean Portfolio by 2045</v>
      </c>
      <c r="C395" s="6">
        <v>2030</v>
      </c>
      <c r="D395" s="8">
        <v>788.68523021262979</v>
      </c>
      <c r="E395" s="8">
        <v>375.25654401722466</v>
      </c>
      <c r="F395" s="8">
        <v>1163.9417742298544</v>
      </c>
      <c r="G395" s="8">
        <v>321.88710956245438</v>
      </c>
      <c r="H395" s="8">
        <v>129.75937640735486</v>
      </c>
      <c r="I395" s="8">
        <v>451.64648596980925</v>
      </c>
      <c r="J395" s="12">
        <v>0.13277394522340563</v>
      </c>
      <c r="K395" s="12">
        <v>0.11899074422762175</v>
      </c>
      <c r="L395" s="8">
        <v>12.460396635449779</v>
      </c>
      <c r="M395" s="8">
        <v>8.9831837464287112</v>
      </c>
      <c r="N395" s="8">
        <v>21.137447966548081</v>
      </c>
      <c r="O395" s="8">
        <v>16.276491422782414</v>
      </c>
      <c r="P395" s="15">
        <v>1.4533807708328601</v>
      </c>
      <c r="Q395" s="15">
        <v>1.4482233725931652</v>
      </c>
      <c r="R395" s="8">
        <v>18.108068845705507</v>
      </c>
      <c r="S395" s="8">
        <v>0</v>
      </c>
      <c r="T395" s="8">
        <v>27.228305936522677</v>
      </c>
      <c r="U395" s="8">
        <v>0</v>
      </c>
      <c r="V395" s="8">
        <v>666.52483931614233</v>
      </c>
      <c r="W395" s="8">
        <v>0</v>
      </c>
      <c r="X395" s="8">
        <v>5940.0602195377032</v>
      </c>
      <c r="Y395" s="8">
        <v>3544.9232648393249</v>
      </c>
    </row>
    <row r="396" spans="1:25" x14ac:dyDescent="0.2">
      <c r="A396" s="6" t="str">
        <f t="shared" si="73"/>
        <v>15- Clean Portfolio by 2045&amp;2031</v>
      </c>
      <c r="B396" s="6" t="str">
        <f>'Scenario List'!$A$17</f>
        <v>15- Clean Portfolio by 2045</v>
      </c>
      <c r="C396" s="6">
        <v>2031</v>
      </c>
      <c r="D396" s="8">
        <v>823.6657495261943</v>
      </c>
      <c r="E396" s="8">
        <v>389.88472738925879</v>
      </c>
      <c r="F396" s="8">
        <v>1213.5504769154531</v>
      </c>
      <c r="G396" s="8">
        <v>323.38419088911678</v>
      </c>
      <c r="H396" s="8">
        <v>134.77074997816891</v>
      </c>
      <c r="I396" s="8">
        <v>458.15494086728569</v>
      </c>
      <c r="J396" s="12">
        <v>0.13760469303166328</v>
      </c>
      <c r="K396" s="12">
        <v>0.12278078053250346</v>
      </c>
      <c r="L396" s="8">
        <v>11.182835575563329</v>
      </c>
      <c r="M396" s="8">
        <v>8.2091951469695328</v>
      </c>
      <c r="N396" s="8">
        <v>20.576401254163699</v>
      </c>
      <c r="O396" s="8">
        <v>14.272250135343285</v>
      </c>
      <c r="P396" s="15">
        <v>1.368200806092801</v>
      </c>
      <c r="Q396" s="15">
        <v>1.3178533229172604</v>
      </c>
      <c r="R396" s="8">
        <v>17.486043113795098</v>
      </c>
      <c r="S396" s="8">
        <v>0.22768200938824337</v>
      </c>
      <c r="T396" s="8">
        <v>26.558553598461749</v>
      </c>
      <c r="U396" s="8">
        <v>0.22768200938824337</v>
      </c>
      <c r="V396" s="8">
        <v>666.28914895642981</v>
      </c>
      <c r="W396" s="8">
        <v>0</v>
      </c>
      <c r="X396" s="8">
        <v>5985.7387955268805</v>
      </c>
      <c r="Y396" s="8">
        <v>3566.6841823700552</v>
      </c>
    </row>
    <row r="397" spans="1:25" x14ac:dyDescent="0.2">
      <c r="A397" s="6" t="str">
        <f t="shared" si="73"/>
        <v>15- Clean Portfolio by 2045&amp;2032</v>
      </c>
      <c r="B397" s="6" t="str">
        <f>'Scenario List'!$A$17</f>
        <v>15- Clean Portfolio by 2045</v>
      </c>
      <c r="C397" s="6">
        <v>2032</v>
      </c>
      <c r="D397" s="8">
        <v>857.69616991605699</v>
      </c>
      <c r="E397" s="8">
        <v>403.38470256121559</v>
      </c>
      <c r="F397" s="8">
        <v>1261.0808724772726</v>
      </c>
      <c r="G397" s="8">
        <v>328.80281726727003</v>
      </c>
      <c r="H397" s="8">
        <v>138.31161270428984</v>
      </c>
      <c r="I397" s="8">
        <v>467.11442997155984</v>
      </c>
      <c r="J397" s="12">
        <v>0.14209576650987593</v>
      </c>
      <c r="K397" s="12">
        <v>0.12617909194656007</v>
      </c>
      <c r="L397" s="8">
        <v>9.6057525935474697</v>
      </c>
      <c r="M397" s="8">
        <v>8.0399087579728246</v>
      </c>
      <c r="N397" s="8">
        <v>17.476471482407788</v>
      </c>
      <c r="O397" s="8">
        <v>14.96901867257759</v>
      </c>
      <c r="P397" s="15">
        <v>1.2025961269742118</v>
      </c>
      <c r="Q397" s="15">
        <v>1.2400831169937785</v>
      </c>
      <c r="R397" s="8">
        <v>58.147524938576161</v>
      </c>
      <c r="S397" s="8">
        <v>9.5833699128345735</v>
      </c>
      <c r="T397" s="8">
        <v>58.106113531305589</v>
      </c>
      <c r="U397" s="8">
        <v>7.6217743550123656</v>
      </c>
      <c r="V397" s="8">
        <v>1347.7504383025625</v>
      </c>
      <c r="W397" s="8">
        <v>147.5672537474502</v>
      </c>
      <c r="X397" s="8">
        <v>6036.0430925044166</v>
      </c>
      <c r="Y397" s="8">
        <v>3588.8647483173977</v>
      </c>
    </row>
    <row r="398" spans="1:25" x14ac:dyDescent="0.2">
      <c r="A398" s="6" t="str">
        <f t="shared" si="73"/>
        <v>15- Clean Portfolio by 2045&amp;2033</v>
      </c>
      <c r="B398" s="6" t="str">
        <f>'Scenario List'!$A$17</f>
        <v>15- Clean Portfolio by 2045</v>
      </c>
      <c r="C398" s="6">
        <v>2033</v>
      </c>
      <c r="D398" s="8">
        <v>883.90360501278519</v>
      </c>
      <c r="E398" s="8">
        <v>414.88388207093874</v>
      </c>
      <c r="F398" s="8">
        <v>1298.787487083724</v>
      </c>
      <c r="G398" s="8">
        <v>328.72510754728324</v>
      </c>
      <c r="H398" s="8">
        <v>139.38885109941694</v>
      </c>
      <c r="I398" s="8">
        <v>468.11395864670021</v>
      </c>
      <c r="J398" s="12">
        <v>0.14534162348919905</v>
      </c>
      <c r="K398" s="12">
        <v>0.12872857428909132</v>
      </c>
      <c r="L398" s="8">
        <v>9.8582660072814026</v>
      </c>
      <c r="M398" s="8">
        <v>8.0006827263469749</v>
      </c>
      <c r="N398" s="8">
        <v>16.347687463344656</v>
      </c>
      <c r="O398" s="8">
        <v>14.320641287418923</v>
      </c>
      <c r="P398" s="15">
        <v>1.184136107196422</v>
      </c>
      <c r="Q398" s="15">
        <v>1.2104176768359198</v>
      </c>
      <c r="R398" s="8">
        <v>57.409263181390656</v>
      </c>
      <c r="S398" s="8">
        <v>10.309651319094788</v>
      </c>
      <c r="T398" s="8">
        <v>57.441524302123916</v>
      </c>
      <c r="U398" s="8">
        <v>8.3711545412529969</v>
      </c>
      <c r="V398" s="8">
        <v>1343.3762313419688</v>
      </c>
      <c r="W398" s="8">
        <v>146.96948790074339</v>
      </c>
      <c r="X398" s="8">
        <v>6081.558632640923</v>
      </c>
      <c r="Y398" s="8">
        <v>3613.3457086414037</v>
      </c>
    </row>
    <row r="399" spans="1:25" x14ac:dyDescent="0.2">
      <c r="A399" s="6" t="str">
        <f t="shared" si="73"/>
        <v>15- Clean Portfolio by 2045&amp;2034</v>
      </c>
      <c r="B399" s="6" t="str">
        <f>'Scenario List'!$A$17</f>
        <v>15- Clean Portfolio by 2045</v>
      </c>
      <c r="C399" s="6">
        <v>2034</v>
      </c>
      <c r="D399" s="8">
        <v>895.07192983258938</v>
      </c>
      <c r="E399" s="8">
        <v>417.66606168717101</v>
      </c>
      <c r="F399" s="8">
        <v>1312.7379915197603</v>
      </c>
      <c r="G399" s="8">
        <v>313.22320245100764</v>
      </c>
      <c r="H399" s="8">
        <v>131.36780778094439</v>
      </c>
      <c r="I399" s="8">
        <v>444.59101023195205</v>
      </c>
      <c r="J399" s="12">
        <v>0.14597114979392414</v>
      </c>
      <c r="K399" s="12">
        <v>0.12854442338283414</v>
      </c>
      <c r="L399" s="8">
        <v>10.377610820419076</v>
      </c>
      <c r="M399" s="8">
        <v>9.2683347683316146</v>
      </c>
      <c r="N399" s="8">
        <v>18.881387690127838</v>
      </c>
      <c r="O399" s="8">
        <v>16.932746265243551</v>
      </c>
      <c r="P399" s="15">
        <v>1.260131268052983</v>
      </c>
      <c r="Q399" s="15">
        <v>1.1830499255774227</v>
      </c>
      <c r="R399" s="8">
        <v>56.571582343531269</v>
      </c>
      <c r="S399" s="8">
        <v>10.488441929996892</v>
      </c>
      <c r="T399" s="8">
        <v>56.623947248820784</v>
      </c>
      <c r="U399" s="8">
        <v>8.5737587024888811</v>
      </c>
      <c r="V399" s="8">
        <v>1341.0776228306765</v>
      </c>
      <c r="W399" s="8">
        <v>146.87776659670016</v>
      </c>
      <c r="X399" s="8">
        <v>6131.8413336896629</v>
      </c>
      <c r="Y399" s="8">
        <v>3638.666960463991</v>
      </c>
    </row>
    <row r="400" spans="1:25" x14ac:dyDescent="0.2">
      <c r="A400" s="6" t="str">
        <f t="shared" si="73"/>
        <v>15- Clean Portfolio by 2045&amp;2035</v>
      </c>
      <c r="B400" s="6" t="str">
        <f>'Scenario List'!$A$17</f>
        <v>15- Clean Portfolio by 2045</v>
      </c>
      <c r="C400" s="6">
        <v>2035</v>
      </c>
      <c r="D400" s="8">
        <v>928.16157266119046</v>
      </c>
      <c r="E400" s="8">
        <v>433.81586945838535</v>
      </c>
      <c r="F400" s="8">
        <v>1361.9774421195757</v>
      </c>
      <c r="G400" s="8">
        <v>321.6352916472253</v>
      </c>
      <c r="H400" s="8">
        <v>136.40966532008622</v>
      </c>
      <c r="I400" s="8">
        <v>458.04495696731152</v>
      </c>
      <c r="J400" s="12">
        <v>0.15009000635683062</v>
      </c>
      <c r="K400" s="12">
        <v>0.13250700249934316</v>
      </c>
      <c r="L400" s="8">
        <v>11.499313922939862</v>
      </c>
      <c r="M400" s="8">
        <v>10.030459222173466</v>
      </c>
      <c r="N400" s="8">
        <v>20.030932321443302</v>
      </c>
      <c r="O400" s="8">
        <v>18.389383090712386</v>
      </c>
      <c r="P400" s="15">
        <v>1.2797496116341711</v>
      </c>
      <c r="Q400" s="15">
        <v>1.184735001764377</v>
      </c>
      <c r="R400" s="8">
        <v>55.839780977889383</v>
      </c>
      <c r="S400" s="8">
        <v>10.664023039774012</v>
      </c>
      <c r="T400" s="8">
        <v>55.910833605057704</v>
      </c>
      <c r="U400" s="8">
        <v>8.7728608239760479</v>
      </c>
      <c r="V400" s="8">
        <v>1351.2132213914902</v>
      </c>
      <c r="W400" s="8">
        <v>147.58019778634991</v>
      </c>
      <c r="X400" s="8">
        <v>6184.0331357874556</v>
      </c>
      <c r="Y400" s="8">
        <v>3665.2415751409676</v>
      </c>
    </row>
    <row r="401" spans="1:25" x14ac:dyDescent="0.2">
      <c r="A401" s="6" t="str">
        <f t="shared" si="73"/>
        <v>15- Clean Portfolio by 2045&amp;2036</v>
      </c>
      <c r="B401" s="6" t="str">
        <f>'Scenario List'!$A$17</f>
        <v>15- Clean Portfolio by 2045</v>
      </c>
      <c r="C401" s="6">
        <v>2036</v>
      </c>
      <c r="D401" s="8">
        <v>972.25899921128394</v>
      </c>
      <c r="E401" s="8">
        <v>455.19145514881393</v>
      </c>
      <c r="F401" s="8">
        <v>1427.4504543600979</v>
      </c>
      <c r="G401" s="8">
        <v>338.60720769816413</v>
      </c>
      <c r="H401" s="8">
        <v>146.21494270833767</v>
      </c>
      <c r="I401" s="8">
        <v>484.82215040650181</v>
      </c>
      <c r="J401" s="12">
        <v>0.15577268384649159</v>
      </c>
      <c r="K401" s="12">
        <v>0.1379133151486554</v>
      </c>
      <c r="L401" s="8">
        <v>12.045877439438637</v>
      </c>
      <c r="M401" s="8">
        <v>9.8991696848659991</v>
      </c>
      <c r="N401" s="8">
        <v>21.076327876040011</v>
      </c>
      <c r="O401" s="8">
        <v>17.566984828399796</v>
      </c>
      <c r="P401" s="15">
        <v>1.286721032644478</v>
      </c>
      <c r="Q401" s="15">
        <v>1.1632062461186194</v>
      </c>
      <c r="R401" s="8">
        <v>126.86660954209536</v>
      </c>
      <c r="S401" s="8">
        <v>49.964572827024533</v>
      </c>
      <c r="T401" s="8">
        <v>122.88612465684207</v>
      </c>
      <c r="U401" s="8">
        <v>45.850423736461053</v>
      </c>
      <c r="V401" s="8">
        <v>1356.0945475915441</v>
      </c>
      <c r="W401" s="8">
        <v>148.33959847897773</v>
      </c>
      <c r="X401" s="8">
        <v>6241.5243494771548</v>
      </c>
      <c r="Y401" s="8">
        <v>3692.7766283520828</v>
      </c>
    </row>
    <row r="402" spans="1:25" x14ac:dyDescent="0.2">
      <c r="A402" s="6" t="str">
        <f t="shared" si="73"/>
        <v>15- Clean Portfolio by 2045&amp;2037</v>
      </c>
      <c r="B402" s="6" t="str">
        <f>'Scenario List'!$A$17</f>
        <v>15- Clean Portfolio by 2045</v>
      </c>
      <c r="C402" s="6">
        <v>2037</v>
      </c>
      <c r="D402" s="8">
        <v>1006.4809710905361</v>
      </c>
      <c r="E402" s="8">
        <v>471.54219308469783</v>
      </c>
      <c r="F402" s="8">
        <v>1478.0231641752339</v>
      </c>
      <c r="G402" s="8">
        <v>344.78268787293371</v>
      </c>
      <c r="H402" s="8">
        <v>150.48877730398439</v>
      </c>
      <c r="I402" s="8">
        <v>495.27146517691813</v>
      </c>
      <c r="J402" s="12">
        <v>0.15988027656367534</v>
      </c>
      <c r="K402" s="12">
        <v>0.14155603339233935</v>
      </c>
      <c r="L402" s="8">
        <v>13.293316653002233</v>
      </c>
      <c r="M402" s="8">
        <v>10.966255337219382</v>
      </c>
      <c r="N402" s="8">
        <v>23.259499080935171</v>
      </c>
      <c r="O402" s="8">
        <v>19.251615425228337</v>
      </c>
      <c r="P402" s="15">
        <v>1.2905450946296351</v>
      </c>
      <c r="Q402" s="15">
        <v>1.1328432924979432</v>
      </c>
      <c r="R402" s="8">
        <v>126.26280573144665</v>
      </c>
      <c r="S402" s="8">
        <v>49.763118274032777</v>
      </c>
      <c r="T402" s="8">
        <v>122.27717222771862</v>
      </c>
      <c r="U402" s="8">
        <v>45.664797015128535</v>
      </c>
      <c r="V402" s="8">
        <v>1358.2729158121665</v>
      </c>
      <c r="W402" s="8">
        <v>148.27472559566917</v>
      </c>
      <c r="X402" s="8">
        <v>6295.2166003396042</v>
      </c>
      <c r="Y402" s="8">
        <v>3722.8464877550446</v>
      </c>
    </row>
    <row r="403" spans="1:25" x14ac:dyDescent="0.2">
      <c r="A403" s="6" t="str">
        <f t="shared" si="73"/>
        <v>15- Clean Portfolio by 2045&amp;2038</v>
      </c>
      <c r="B403" s="6" t="str">
        <f>'Scenario List'!$A$17</f>
        <v>15- Clean Portfolio by 2045</v>
      </c>
      <c r="C403" s="6">
        <v>2038</v>
      </c>
      <c r="D403" s="8">
        <v>1049.6765194305467</v>
      </c>
      <c r="E403" s="8">
        <v>492.56885366572891</v>
      </c>
      <c r="F403" s="8">
        <v>1542.2453730962757</v>
      </c>
      <c r="G403" s="8">
        <v>356.44588542126115</v>
      </c>
      <c r="H403" s="8">
        <v>158.98387240555292</v>
      </c>
      <c r="I403" s="8">
        <v>515.42975782681401</v>
      </c>
      <c r="J403" s="12">
        <v>0.16517727538237639</v>
      </c>
      <c r="K403" s="12">
        <v>0.14645683411881361</v>
      </c>
      <c r="L403" s="8">
        <v>15.537611474099764</v>
      </c>
      <c r="M403" s="8">
        <v>12.879880221467378</v>
      </c>
      <c r="N403" s="8">
        <v>28.465344919866183</v>
      </c>
      <c r="O403" s="8">
        <v>23.135327971076379</v>
      </c>
      <c r="P403" s="15">
        <v>1.2801978700925398</v>
      </c>
      <c r="Q403" s="15">
        <v>1.0838943776333174</v>
      </c>
      <c r="R403" s="8">
        <v>172.80029261701227</v>
      </c>
      <c r="S403" s="8">
        <v>75.695299616521382</v>
      </c>
      <c r="T403" s="8">
        <v>166.14901095183933</v>
      </c>
      <c r="U403" s="8">
        <v>70.137720672128069</v>
      </c>
      <c r="V403" s="8">
        <v>1355.6576526547381</v>
      </c>
      <c r="W403" s="8">
        <v>148.36832300382196</v>
      </c>
      <c r="X403" s="8">
        <v>6354.8482501639692</v>
      </c>
      <c r="Y403" s="8">
        <v>3754.4065817186156</v>
      </c>
    </row>
    <row r="404" spans="1:25" x14ac:dyDescent="0.2">
      <c r="A404" s="6" t="str">
        <f t="shared" si="73"/>
        <v>15- Clean Portfolio by 2045&amp;2039</v>
      </c>
      <c r="B404" s="6" t="str">
        <f>'Scenario List'!$A$17</f>
        <v>15- Clean Portfolio by 2045</v>
      </c>
      <c r="C404" s="6">
        <v>2039</v>
      </c>
      <c r="D404" s="8">
        <v>1095.9927415903617</v>
      </c>
      <c r="E404" s="8">
        <v>514.82451622842882</v>
      </c>
      <c r="F404" s="8">
        <v>1610.8172578187905</v>
      </c>
      <c r="G404" s="8">
        <v>373.28815098978112</v>
      </c>
      <c r="H404" s="8">
        <v>168.28768034101449</v>
      </c>
      <c r="I404" s="8">
        <v>541.57583133079561</v>
      </c>
      <c r="J404" s="12">
        <v>0.17077348532647968</v>
      </c>
      <c r="K404" s="12">
        <v>0.15159803906306382</v>
      </c>
      <c r="L404" s="8">
        <v>15.01146208240009</v>
      </c>
      <c r="M404" s="8">
        <v>12.648320527190503</v>
      </c>
      <c r="N404" s="8">
        <v>27.889170119288394</v>
      </c>
      <c r="O404" s="8">
        <v>21.580483258403646</v>
      </c>
      <c r="P404" s="15">
        <v>1.3052860191830149</v>
      </c>
      <c r="Q404" s="15">
        <v>1.0693811198868441</v>
      </c>
      <c r="R404" s="8">
        <v>172.09315287413318</v>
      </c>
      <c r="S404" s="8">
        <v>75.511480480099038</v>
      </c>
      <c r="T404" s="8">
        <v>165.45669977376573</v>
      </c>
      <c r="U404" s="8">
        <v>69.976287891193664</v>
      </c>
      <c r="V404" s="8">
        <v>1357.8578874276645</v>
      </c>
      <c r="W404" s="8">
        <v>149.02181671880115</v>
      </c>
      <c r="X404" s="8">
        <v>6417.8156198842889</v>
      </c>
      <c r="Y404" s="8">
        <v>3787.7263622000587</v>
      </c>
    </row>
    <row r="405" spans="1:25" x14ac:dyDescent="0.2">
      <c r="A405" s="6" t="str">
        <f t="shared" si="73"/>
        <v>15- Clean Portfolio by 2045&amp;2040</v>
      </c>
      <c r="B405" s="6" t="str">
        <f>'Scenario List'!$A$17</f>
        <v>15- Clean Portfolio by 2045</v>
      </c>
      <c r="C405" s="6">
        <v>2040</v>
      </c>
      <c r="D405" s="8">
        <v>1137.0991629560085</v>
      </c>
      <c r="E405" s="8">
        <v>531.11631116536125</v>
      </c>
      <c r="F405" s="8">
        <v>1668.2154741213699</v>
      </c>
      <c r="G405" s="8">
        <v>384.12628833333349</v>
      </c>
      <c r="H405" s="8">
        <v>171.38349303457213</v>
      </c>
      <c r="I405" s="8">
        <v>555.50978136790559</v>
      </c>
      <c r="J405" s="12">
        <v>0.17526435079911903</v>
      </c>
      <c r="K405" s="12">
        <v>0.15484694368204094</v>
      </c>
      <c r="L405" s="8">
        <v>16.773788408308437</v>
      </c>
      <c r="M405" s="8">
        <v>14.218995876983488</v>
      </c>
      <c r="N405" s="8">
        <v>32.269239985048728</v>
      </c>
      <c r="O405" s="8">
        <v>27.518624372316808</v>
      </c>
      <c r="P405" s="15">
        <v>1.1674879786576453</v>
      </c>
      <c r="Q405" s="15">
        <v>1.051925766649793</v>
      </c>
      <c r="R405" s="8">
        <v>203.3091298599775</v>
      </c>
      <c r="S405" s="8">
        <v>92.97490213598104</v>
      </c>
      <c r="T405" s="8">
        <v>196.70030638604567</v>
      </c>
      <c r="U405" s="8">
        <v>87.472942289007079</v>
      </c>
      <c r="V405" s="8">
        <v>1196.9539252507652</v>
      </c>
      <c r="W405" s="8">
        <v>58.55731223567448</v>
      </c>
      <c r="X405" s="8">
        <v>6487.9090229781295</v>
      </c>
      <c r="Y405" s="8">
        <v>3823.0117056803024</v>
      </c>
    </row>
    <row r="406" spans="1:25" x14ac:dyDescent="0.2">
      <c r="A406" s="6" t="str">
        <f t="shared" si="73"/>
        <v>15- Clean Portfolio by 2045&amp;2041</v>
      </c>
      <c r="B406" s="6" t="str">
        <f>'Scenario List'!$A$17</f>
        <v>15- Clean Portfolio by 2045</v>
      </c>
      <c r="C406" s="6">
        <v>2041</v>
      </c>
      <c r="D406" s="8">
        <v>1177.1352063676711</v>
      </c>
      <c r="E406" s="8">
        <v>541.9018980376602</v>
      </c>
      <c r="F406" s="8">
        <v>1719.0371044053313</v>
      </c>
      <c r="G406" s="8">
        <v>388.68569233387097</v>
      </c>
      <c r="H406" s="8">
        <v>168.14434614055023</v>
      </c>
      <c r="I406" s="8">
        <v>556.83003847442114</v>
      </c>
      <c r="J406" s="12">
        <v>0.17955050903625139</v>
      </c>
      <c r="K406" s="12">
        <v>0.15618681448001409</v>
      </c>
      <c r="L406" s="8">
        <v>14.956797873741955</v>
      </c>
      <c r="M406" s="8">
        <v>14.299700718786896</v>
      </c>
      <c r="N406" s="8">
        <v>24.854346560244309</v>
      </c>
      <c r="O406" s="8">
        <v>25.889904264117192</v>
      </c>
      <c r="P406" s="15">
        <v>1.2030982712374412</v>
      </c>
      <c r="Q406" s="15">
        <v>1.0095941009765625</v>
      </c>
      <c r="R406" s="8">
        <v>271.86515062875577</v>
      </c>
      <c r="S406" s="8">
        <v>118.95866527491563</v>
      </c>
      <c r="T406" s="8">
        <v>263.93254543509863</v>
      </c>
      <c r="U406" s="8">
        <v>111.98364017618552</v>
      </c>
      <c r="V406" s="8">
        <v>1593.0754531343075</v>
      </c>
      <c r="W406" s="8">
        <v>59.333398159769537</v>
      </c>
      <c r="X406" s="8">
        <v>6556.0115239216984</v>
      </c>
      <c r="Y406" s="8">
        <v>3861.5133087475083</v>
      </c>
    </row>
    <row r="407" spans="1:25" x14ac:dyDescent="0.2">
      <c r="A407" s="6" t="str">
        <f t="shared" si="73"/>
        <v>15- Clean Portfolio by 2045&amp;2042</v>
      </c>
      <c r="B407" s="6" t="str">
        <f>'Scenario List'!$A$17</f>
        <v>15- Clean Portfolio by 2045</v>
      </c>
      <c r="C407" s="6">
        <v>2042</v>
      </c>
      <c r="D407" s="8">
        <v>1276.3161465043856</v>
      </c>
      <c r="E407" s="8">
        <v>609.57331457920645</v>
      </c>
      <c r="F407" s="8">
        <v>1885.8894610835921</v>
      </c>
      <c r="G407" s="8">
        <v>408.47828206557267</v>
      </c>
      <c r="H407" s="8">
        <v>221.13434171173793</v>
      </c>
      <c r="I407" s="8">
        <v>629.61262377731055</v>
      </c>
      <c r="J407" s="12">
        <v>0.19243750383201114</v>
      </c>
      <c r="K407" s="12">
        <v>0.1736304883352347</v>
      </c>
      <c r="L407" s="8">
        <v>18.006636763981149</v>
      </c>
      <c r="M407" s="8">
        <v>16.475731795484645</v>
      </c>
      <c r="N407" s="8">
        <v>31.744490696627892</v>
      </c>
      <c r="O407" s="8">
        <v>30.810237036445614</v>
      </c>
      <c r="P407" s="15">
        <v>0.77098437475948844</v>
      </c>
      <c r="Q407" s="15">
        <v>0.63625085715494789</v>
      </c>
      <c r="R407" s="8">
        <v>482.06513439840791</v>
      </c>
      <c r="S407" s="8">
        <v>250.64246244385188</v>
      </c>
      <c r="T407" s="8">
        <v>464.67270642757114</v>
      </c>
      <c r="U407" s="8">
        <v>240.33304723464047</v>
      </c>
      <c r="V407" s="8">
        <v>1926.4705645558656</v>
      </c>
      <c r="W407" s="8">
        <v>372.62780463727256</v>
      </c>
      <c r="X407" s="8">
        <v>6632.3669819504075</v>
      </c>
      <c r="Y407" s="8">
        <v>3902.319268812761</v>
      </c>
    </row>
    <row r="408" spans="1:25" x14ac:dyDescent="0.2">
      <c r="A408" s="6" t="str">
        <f t="shared" si="73"/>
        <v>15- Clean Portfolio by 2045&amp;2043</v>
      </c>
      <c r="B408" s="6" t="str">
        <f>'Scenario List'!$A$17</f>
        <v>15- Clean Portfolio by 2045</v>
      </c>
      <c r="C408" s="6">
        <v>2043</v>
      </c>
      <c r="D408" s="8">
        <v>1356.8667475109257</v>
      </c>
      <c r="E408" s="8">
        <v>650.03728338168685</v>
      </c>
      <c r="F408" s="8">
        <v>2006.9040308926126</v>
      </c>
      <c r="G408" s="8">
        <v>454.30159446844237</v>
      </c>
      <c r="H408" s="8">
        <v>246.54460444127332</v>
      </c>
      <c r="I408" s="8">
        <v>700.84619890971567</v>
      </c>
      <c r="J408" s="12">
        <v>0.20208004320425721</v>
      </c>
      <c r="K408" s="12">
        <v>0.18287929548792417</v>
      </c>
      <c r="L408" s="8">
        <v>17.414085681010523</v>
      </c>
      <c r="M408" s="8">
        <v>14.436049071160403</v>
      </c>
      <c r="N408" s="8">
        <v>33.426833351629512</v>
      </c>
      <c r="O408" s="8">
        <v>25.525727851894004</v>
      </c>
      <c r="P408" s="15">
        <v>0.72703836403422584</v>
      </c>
      <c r="Q408" s="15">
        <v>0.63683496030598963</v>
      </c>
      <c r="R408" s="8">
        <v>543.03839411310025</v>
      </c>
      <c r="S408" s="8">
        <v>256.65197834694914</v>
      </c>
      <c r="T408" s="8">
        <v>529.33859883158709</v>
      </c>
      <c r="U408" s="8">
        <v>250.03634214659857</v>
      </c>
      <c r="V408" s="8">
        <v>1973.4353244109618</v>
      </c>
      <c r="W408" s="8">
        <v>682.56566696967127</v>
      </c>
      <c r="X408" s="8">
        <v>6714.5014717729473</v>
      </c>
      <c r="Y408" s="8">
        <v>3946.0840916698371</v>
      </c>
    </row>
    <row r="409" spans="1:25" x14ac:dyDescent="0.2">
      <c r="A409" s="6" t="str">
        <f t="shared" si="73"/>
        <v>15- Clean Portfolio by 2045&amp;2044</v>
      </c>
      <c r="B409" s="6" t="str">
        <f>'Scenario List'!$A$17</f>
        <v>15- Clean Portfolio by 2045</v>
      </c>
      <c r="C409" s="6">
        <v>2044</v>
      </c>
      <c r="D409" s="8">
        <v>1425.3017642058444</v>
      </c>
      <c r="E409" s="8">
        <v>681.36672188964519</v>
      </c>
      <c r="F409" s="8">
        <v>2106.6684860954897</v>
      </c>
      <c r="G409" s="8">
        <v>494.18374178994827</v>
      </c>
      <c r="H409" s="8">
        <v>262.23937755377682</v>
      </c>
      <c r="I409" s="8">
        <v>756.42311934372515</v>
      </c>
      <c r="J409" s="12">
        <v>0.20940111759190014</v>
      </c>
      <c r="K409" s="12">
        <v>0.18923930944350639</v>
      </c>
      <c r="L409" s="8">
        <v>18.142864725249765</v>
      </c>
      <c r="M409" s="8">
        <v>16.35960238471689</v>
      </c>
      <c r="N409" s="8">
        <v>32.224683510459002</v>
      </c>
      <c r="O409" s="8">
        <v>29.365252892054357</v>
      </c>
      <c r="P409" s="15">
        <v>0.70810266949829748</v>
      </c>
      <c r="Q409" s="15">
        <v>0.69541616561848962</v>
      </c>
      <c r="R409" s="8">
        <v>560.41770760691463</v>
      </c>
      <c r="S409" s="8">
        <v>263.41124911903358</v>
      </c>
      <c r="T409" s="8">
        <v>550.35251104831332</v>
      </c>
      <c r="U409" s="8">
        <v>256.75245366763858</v>
      </c>
      <c r="V409" s="8">
        <v>2501.6909807567936</v>
      </c>
      <c r="W409" s="8">
        <v>805.35432572422599</v>
      </c>
      <c r="X409" s="8">
        <v>6806.5623555247757</v>
      </c>
      <c r="Y409" s="8">
        <v>3993.5459022046771</v>
      </c>
    </row>
    <row r="410" spans="1:25" x14ac:dyDescent="0.2">
      <c r="A410" s="6" t="str">
        <f t="shared" si="73"/>
        <v>15- Clean Portfolio by 2045&amp;2045</v>
      </c>
      <c r="B410" s="6" t="str">
        <f>'Scenario List'!$A$17</f>
        <v>15- Clean Portfolio by 2045</v>
      </c>
      <c r="C410" s="6">
        <v>2045</v>
      </c>
      <c r="D410" s="8">
        <v>1656.5481113502251</v>
      </c>
      <c r="E410" s="8">
        <v>945.90186759468884</v>
      </c>
      <c r="F410" s="8">
        <v>2602.4499789449137</v>
      </c>
      <c r="G410" s="8">
        <v>598.35581142824685</v>
      </c>
      <c r="H410" s="8">
        <v>510.34010761541185</v>
      </c>
      <c r="I410" s="8">
        <v>1108.6959190436587</v>
      </c>
      <c r="J410" s="12">
        <v>0.24008834157082209</v>
      </c>
      <c r="K410" s="12">
        <v>0.25887415396330338</v>
      </c>
      <c r="L410" s="8">
        <v>19.813994321795565</v>
      </c>
      <c r="M410" s="8">
        <v>13.036676238127482</v>
      </c>
      <c r="N410" s="8">
        <v>34.806208691724464</v>
      </c>
      <c r="O410" s="8">
        <v>24.051958587291139</v>
      </c>
      <c r="P410" s="15">
        <v>-8.259694141090819E-2</v>
      </c>
      <c r="Q410" s="15">
        <v>0</v>
      </c>
      <c r="R410" s="8">
        <v>913.17256920916896</v>
      </c>
      <c r="S410" s="8">
        <v>472.69016198316979</v>
      </c>
      <c r="T410" s="8">
        <v>891.88071236189046</v>
      </c>
      <c r="U410" s="8">
        <v>457.26953006190524</v>
      </c>
      <c r="V410" s="8">
        <v>3552.9550091184797</v>
      </c>
      <c r="W410" s="8">
        <v>1466.0196529006687</v>
      </c>
      <c r="X410" s="8">
        <v>6899.7440713362203</v>
      </c>
      <c r="Y410" s="8">
        <v>4045.6965206659174</v>
      </c>
    </row>
    <row r="411" spans="1:25" x14ac:dyDescent="0.2">
      <c r="A411" s="6" t="str">
        <f t="shared" si="73"/>
        <v>15- Clean Portfolio by 2045&amp;NPV</v>
      </c>
      <c r="B411" s="6" t="str">
        <f>'Scenario List'!$A$17</f>
        <v>15- Clean Portfolio by 2045</v>
      </c>
      <c r="C411" s="3" t="s">
        <v>6</v>
      </c>
      <c r="D411" s="16">
        <f t="shared" ref="D411:E411" si="74">NPV($B$1,D387:D410)</f>
        <v>10207.033301872163</v>
      </c>
      <c r="E411" s="16">
        <f t="shared" si="74"/>
        <v>4899.8496555924448</v>
      </c>
      <c r="F411" s="16">
        <f>NPV($B$1,F387:F410)</f>
        <v>15106.882957464606</v>
      </c>
      <c r="G411" s="16">
        <f t="shared" ref="G411:I411" si="75">NPV($B$1,G387:G410)</f>
        <v>4262.3884628750393</v>
      </c>
      <c r="H411" s="16">
        <f t="shared" si="75"/>
        <v>1768.6275807812228</v>
      </c>
      <c r="I411" s="16">
        <f t="shared" si="75"/>
        <v>6031.0160436562601</v>
      </c>
      <c r="L411" s="52">
        <f t="shared" ref="L411:Q411" si="76">NPV($B$1,L387:L410)</f>
        <v>156.30166447929778</v>
      </c>
      <c r="M411" s="52">
        <f t="shared" si="76"/>
        <v>109.15519069713854</v>
      </c>
      <c r="N411" s="52">
        <f t="shared" si="76"/>
        <v>271.72708223498853</v>
      </c>
      <c r="O411" s="52">
        <f t="shared" si="76"/>
        <v>192.93403228605732</v>
      </c>
      <c r="P411" s="52">
        <f t="shared" si="76"/>
        <v>17.938491044653926</v>
      </c>
      <c r="Q411" s="52">
        <f t="shared" si="76"/>
        <v>18.447521008930799</v>
      </c>
      <c r="X411" s="52">
        <f>-PMT($B$1,22,NPV($B$1,X389:X410))</f>
        <v>6091.0655502339687</v>
      </c>
      <c r="Y411" s="52">
        <f>-PMT($B$1,22,NPV($B$1,Y389:Y410))</f>
        <v>3623.6197875260368</v>
      </c>
    </row>
    <row r="412" spans="1:25" x14ac:dyDescent="0.2">
      <c r="A412" s="6" t="str">
        <f t="shared" si="73"/>
        <v>15- Clean Portfolio by 2045&amp;Levelized</v>
      </c>
      <c r="B412" s="6" t="str">
        <f>'Scenario List'!$A$17</f>
        <v>15- Clean Portfolio by 2045</v>
      </c>
      <c r="C412" s="3" t="s">
        <v>7</v>
      </c>
      <c r="D412" s="16">
        <f t="shared" ref="D412:I412" si="77">-PMT($B$1,COUNT(D387:D410),D411)</f>
        <v>867.95668533646108</v>
      </c>
      <c r="E412" s="16">
        <f t="shared" si="77"/>
        <v>416.65948762359426</v>
      </c>
      <c r="F412" s="16">
        <f t="shared" si="77"/>
        <v>1284.6161729600551</v>
      </c>
      <c r="G412" s="16">
        <f t="shared" si="77"/>
        <v>362.45287464427315</v>
      </c>
      <c r="H412" s="16">
        <f t="shared" si="77"/>
        <v>150.39552504721908</v>
      </c>
      <c r="I412" s="16">
        <f t="shared" si="77"/>
        <v>512.84839969149209</v>
      </c>
      <c r="L412" s="52">
        <f t="shared" ref="L412:Q412" si="78">-PMT($B$1,COUNT(L387:L410),L411)</f>
        <v>13.29113667035257</v>
      </c>
      <c r="M412" s="52">
        <f t="shared" si="78"/>
        <v>9.2820288425413686</v>
      </c>
      <c r="N412" s="52">
        <f t="shared" si="78"/>
        <v>23.10635525893403</v>
      </c>
      <c r="O412" s="52">
        <f t="shared" si="78"/>
        <v>16.406175839642753</v>
      </c>
      <c r="P412" s="52">
        <f t="shared" si="78"/>
        <v>1.5254024128832624</v>
      </c>
      <c r="Q412" s="52">
        <f t="shared" si="78"/>
        <v>1.5686878561128497</v>
      </c>
    </row>
    <row r="413" spans="1:25" ht="15" x14ac:dyDescent="0.25">
      <c r="C413" s="2"/>
      <c r="D413" s="53"/>
      <c r="E413" s="53"/>
      <c r="F413" s="53"/>
      <c r="G413" s="53"/>
      <c r="H413" s="53"/>
      <c r="I413" s="53"/>
      <c r="J413" s="54"/>
      <c r="K413" s="54"/>
      <c r="L413" s="47"/>
      <c r="M413" s="47"/>
      <c r="N413" s="47"/>
      <c r="O413" s="47"/>
      <c r="P413" s="54"/>
      <c r="Q413" s="48"/>
    </row>
    <row r="414" spans="1:25" ht="15" x14ac:dyDescent="0.25">
      <c r="C414" s="2"/>
      <c r="D414" s="53"/>
      <c r="E414" s="53"/>
      <c r="F414" s="53"/>
      <c r="G414" s="53"/>
      <c r="H414" s="53"/>
      <c r="I414" s="53"/>
      <c r="J414" s="54"/>
      <c r="K414" s="54"/>
      <c r="L414" s="47"/>
      <c r="M414" s="47"/>
      <c r="N414" s="47"/>
      <c r="O414" s="47"/>
      <c r="P414" s="54"/>
      <c r="Q414" s="48"/>
    </row>
    <row r="415" spans="1:25" x14ac:dyDescent="0.2">
      <c r="A415" s="6" t="str">
        <f t="shared" ref="A415:A439" si="79">B415&amp;"&amp;"&amp;C415</f>
        <v>16- Social Cost Included for Idaho&amp;2023</v>
      </c>
      <c r="B415" s="6" t="str">
        <f>'Scenario List'!$A$18</f>
        <v>16- Social Cost Included for Idaho</v>
      </c>
      <c r="C415" s="6">
        <v>2023</v>
      </c>
      <c r="D415" s="8">
        <v>646.41369647857209</v>
      </c>
      <c r="E415" s="8">
        <v>314.17373061702062</v>
      </c>
      <c r="F415" s="8">
        <v>960.58742709559272</v>
      </c>
      <c r="G415" s="8">
        <v>412.85471584209472</v>
      </c>
      <c r="H415" s="8">
        <v>227.26877866408626</v>
      </c>
      <c r="I415" s="8">
        <v>640.12349450618103</v>
      </c>
      <c r="J415" s="12">
        <v>0.11264092562500479</v>
      </c>
      <c r="K415" s="12">
        <v>0.10170536450520536</v>
      </c>
      <c r="L415" s="8">
        <v>16.808462803647657</v>
      </c>
      <c r="M415" s="8">
        <v>9.4389826537459118</v>
      </c>
      <c r="N415" s="8">
        <v>27.712561152774157</v>
      </c>
      <c r="O415" s="8">
        <v>15.748119749076878</v>
      </c>
      <c r="P415" s="15">
        <v>2.5071495936225858</v>
      </c>
      <c r="Q415" s="15">
        <v>2.8792050200375625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5738.7108006423987</v>
      </c>
      <c r="Y415" s="8">
        <v>3474.911418684072</v>
      </c>
    </row>
    <row r="416" spans="1:25" x14ac:dyDescent="0.2">
      <c r="A416" s="6" t="str">
        <f t="shared" si="79"/>
        <v>16- Social Cost Included for Idaho&amp;2024</v>
      </c>
      <c r="B416" s="6" t="str">
        <f>'Scenario List'!$A$18</f>
        <v>16- Social Cost Included for Idaho</v>
      </c>
      <c r="C416" s="6">
        <v>2024</v>
      </c>
      <c r="D416" s="8">
        <v>659.64786788083006</v>
      </c>
      <c r="E416" s="8">
        <v>319.7179936006803</v>
      </c>
      <c r="F416" s="8">
        <v>979.36586148151036</v>
      </c>
      <c r="G416" s="8">
        <v>419.80202605070735</v>
      </c>
      <c r="H416" s="8">
        <v>235.25094291145811</v>
      </c>
      <c r="I416" s="8">
        <v>655.05296896216544</v>
      </c>
      <c r="J416" s="12">
        <v>0.11393168436501203</v>
      </c>
      <c r="K416" s="12">
        <v>0.10318564409527113</v>
      </c>
      <c r="L416" s="8">
        <v>13.118446810879787</v>
      </c>
      <c r="M416" s="8">
        <v>7.2904432245619901</v>
      </c>
      <c r="N416" s="8">
        <v>22.18971226019049</v>
      </c>
      <c r="O416" s="8">
        <v>12.610707460767387</v>
      </c>
      <c r="P416" s="15">
        <v>2.4532169693564638</v>
      </c>
      <c r="Q416" s="15">
        <v>2.9672417086309277</v>
      </c>
      <c r="R416" s="8">
        <v>1.0380200044495842E-2</v>
      </c>
      <c r="S416" s="8">
        <v>0</v>
      </c>
      <c r="T416" s="8">
        <v>0.11416085097882279</v>
      </c>
      <c r="U416" s="8">
        <v>0</v>
      </c>
      <c r="V416" s="8">
        <v>0.97729443319812614</v>
      </c>
      <c r="W416" s="8">
        <v>0</v>
      </c>
      <c r="X416" s="8">
        <v>5789.8544338856918</v>
      </c>
      <c r="Y416" s="8">
        <v>3486.2338848877271</v>
      </c>
    </row>
    <row r="417" spans="1:25" x14ac:dyDescent="0.2">
      <c r="A417" s="6" t="str">
        <f t="shared" si="79"/>
        <v>16- Social Cost Included for Idaho&amp;2025</v>
      </c>
      <c r="B417" s="6" t="str">
        <f>'Scenario List'!$A$18</f>
        <v>16- Social Cost Included for Idaho</v>
      </c>
      <c r="C417" s="6">
        <v>2025</v>
      </c>
      <c r="D417" s="8">
        <v>683.67605448802249</v>
      </c>
      <c r="E417" s="8">
        <v>327.42356834150473</v>
      </c>
      <c r="F417" s="8">
        <v>1011.0996228295272</v>
      </c>
      <c r="G417" s="8">
        <v>415.21109247057831</v>
      </c>
      <c r="H417" s="8">
        <v>230.591580790417</v>
      </c>
      <c r="I417" s="8">
        <v>645.80267326099533</v>
      </c>
      <c r="J417" s="12">
        <v>0.11737210253850229</v>
      </c>
      <c r="K417" s="12">
        <v>0.10537370534253775</v>
      </c>
      <c r="L417" s="8">
        <v>10.311867484390389</v>
      </c>
      <c r="M417" s="8">
        <v>5.6547933757660926</v>
      </c>
      <c r="N417" s="8">
        <v>17.600485670602126</v>
      </c>
      <c r="O417" s="8">
        <v>9.6006178686940586</v>
      </c>
      <c r="P417" s="15">
        <v>2.267704348036649</v>
      </c>
      <c r="Q417" s="15">
        <v>2.7196586755011132</v>
      </c>
      <c r="R417" s="8">
        <v>0.454670475539243</v>
      </c>
      <c r="S417" s="8">
        <v>0</v>
      </c>
      <c r="T417" s="8">
        <v>0.55975956888744105</v>
      </c>
      <c r="U417" s="8">
        <v>0</v>
      </c>
      <c r="V417" s="8">
        <v>1.9714226177824343</v>
      </c>
      <c r="W417" s="8">
        <v>0</v>
      </c>
      <c r="X417" s="8">
        <v>5824.8599087994698</v>
      </c>
      <c r="Y417" s="8">
        <v>3498.3165384312665</v>
      </c>
    </row>
    <row r="418" spans="1:25" x14ac:dyDescent="0.2">
      <c r="A418" s="6" t="str">
        <f t="shared" si="79"/>
        <v>16- Social Cost Included for Idaho&amp;2026</v>
      </c>
      <c r="B418" s="6" t="str">
        <f>'Scenario List'!$A$18</f>
        <v>16- Social Cost Included for Idaho</v>
      </c>
      <c r="C418" s="6">
        <v>2026</v>
      </c>
      <c r="D418" s="8">
        <v>693.02863795553571</v>
      </c>
      <c r="E418" s="8">
        <v>337.33785559528025</v>
      </c>
      <c r="F418" s="8">
        <v>1030.3664935508159</v>
      </c>
      <c r="G418" s="8">
        <v>314.30130229271396</v>
      </c>
      <c r="H418" s="8">
        <v>183.05042423573005</v>
      </c>
      <c r="I418" s="8">
        <v>497.35172652844403</v>
      </c>
      <c r="J418" s="12">
        <v>0.11961577221095016</v>
      </c>
      <c r="K418" s="12">
        <v>0.10948420361569056</v>
      </c>
      <c r="L418" s="8">
        <v>13.34613515374213</v>
      </c>
      <c r="M418" s="8">
        <v>7.2041591859888641</v>
      </c>
      <c r="N418" s="8">
        <v>23.111993917782769</v>
      </c>
      <c r="O418" s="8">
        <v>12.576021506567869</v>
      </c>
      <c r="P418" s="15">
        <v>1.357664703805691</v>
      </c>
      <c r="Q418" s="15">
        <v>1.4922093815351607</v>
      </c>
      <c r="R418" s="8">
        <v>1.4307627098382938</v>
      </c>
      <c r="S418" s="8">
        <v>0</v>
      </c>
      <c r="T418" s="8">
        <v>1.5898481240728632</v>
      </c>
      <c r="U418" s="8">
        <v>0</v>
      </c>
      <c r="V418" s="8">
        <v>2.9826784510598912</v>
      </c>
      <c r="W418" s="8">
        <v>0</v>
      </c>
      <c r="X418" s="8">
        <v>5793.7897749247886</v>
      </c>
      <c r="Y418" s="8">
        <v>3473.5144495622508</v>
      </c>
    </row>
    <row r="419" spans="1:25" x14ac:dyDescent="0.2">
      <c r="A419" s="6" t="str">
        <f t="shared" si="79"/>
        <v>16- Social Cost Included for Idaho&amp;2027</v>
      </c>
      <c r="B419" s="6" t="str">
        <f>'Scenario List'!$A$18</f>
        <v>16- Social Cost Included for Idaho</v>
      </c>
      <c r="C419" s="6">
        <v>2027</v>
      </c>
      <c r="D419" s="8">
        <v>711.02909815011503</v>
      </c>
      <c r="E419" s="8">
        <v>343.39108960014477</v>
      </c>
      <c r="F419" s="8">
        <v>1054.4201877502599</v>
      </c>
      <c r="G419" s="8">
        <v>310.36272823688068</v>
      </c>
      <c r="H419" s="8">
        <v>181.37593733995698</v>
      </c>
      <c r="I419" s="8">
        <v>491.73866557683766</v>
      </c>
      <c r="J419" s="12">
        <v>0.1219138765986575</v>
      </c>
      <c r="K419" s="12">
        <v>0.11068161724212446</v>
      </c>
      <c r="L419" s="8">
        <v>10.97037637627759</v>
      </c>
      <c r="M419" s="8">
        <v>6.0260358036982025</v>
      </c>
      <c r="N419" s="8">
        <v>16.117102636150349</v>
      </c>
      <c r="O419" s="8">
        <v>8.7625532862128352</v>
      </c>
      <c r="P419" s="15">
        <v>1.4419667882294476</v>
      </c>
      <c r="Q419" s="15">
        <v>1.4329042999731518</v>
      </c>
      <c r="R419" s="8">
        <v>3.1283509710090698</v>
      </c>
      <c r="S419" s="8">
        <v>0</v>
      </c>
      <c r="T419" s="8">
        <v>3.3425748974627796</v>
      </c>
      <c r="U419" s="8">
        <v>0</v>
      </c>
      <c r="V419" s="8">
        <v>4.0266198386112562</v>
      </c>
      <c r="W419" s="8">
        <v>0</v>
      </c>
      <c r="X419" s="8">
        <v>5832.22450132428</v>
      </c>
      <c r="Y419" s="8">
        <v>3493.7893383358619</v>
      </c>
    </row>
    <row r="420" spans="1:25" x14ac:dyDescent="0.2">
      <c r="A420" s="6" t="str">
        <f t="shared" si="79"/>
        <v>16- Social Cost Included for Idaho&amp;2028</v>
      </c>
      <c r="B420" s="6" t="str">
        <f>'Scenario List'!$A$18</f>
        <v>16- Social Cost Included for Idaho</v>
      </c>
      <c r="C420" s="6">
        <v>2028</v>
      </c>
      <c r="D420" s="8">
        <v>737.9806737145658</v>
      </c>
      <c r="E420" s="8">
        <v>352.01460815877624</v>
      </c>
      <c r="F420" s="8">
        <v>1089.995281873342</v>
      </c>
      <c r="G420" s="8">
        <v>316.17258754963729</v>
      </c>
      <c r="H420" s="8">
        <v>182.6027345543657</v>
      </c>
      <c r="I420" s="8">
        <v>498.77532210400295</v>
      </c>
      <c r="J420" s="12">
        <v>0.12566663272426432</v>
      </c>
      <c r="K420" s="12">
        <v>0.11272019457868776</v>
      </c>
      <c r="L420" s="8">
        <v>13.186871494569123</v>
      </c>
      <c r="M420" s="8">
        <v>7.2858365444277089</v>
      </c>
      <c r="N420" s="8">
        <v>25.287131532260361</v>
      </c>
      <c r="O420" s="8">
        <v>14.132929572101318</v>
      </c>
      <c r="P420" s="15">
        <v>1.4656460327062848</v>
      </c>
      <c r="Q420" s="15">
        <v>1.4184150619134281</v>
      </c>
      <c r="R420" s="8">
        <v>3.7086057963520349</v>
      </c>
      <c r="S420" s="8">
        <v>0</v>
      </c>
      <c r="T420" s="8">
        <v>3.9784722455761088</v>
      </c>
      <c r="U420" s="8">
        <v>0</v>
      </c>
      <c r="V420" s="8">
        <v>5.0761915758614151</v>
      </c>
      <c r="W420" s="8">
        <v>0</v>
      </c>
      <c r="X420" s="8">
        <v>5872.5268411848911</v>
      </c>
      <c r="Y420" s="8">
        <v>3512.4596385411842</v>
      </c>
    </row>
    <row r="421" spans="1:25" x14ac:dyDescent="0.2">
      <c r="A421" s="6" t="str">
        <f t="shared" si="79"/>
        <v>16- Social Cost Included for Idaho&amp;2029</v>
      </c>
      <c r="B421" s="6" t="str">
        <f>'Scenario List'!$A$18</f>
        <v>16- Social Cost Included for Idaho</v>
      </c>
      <c r="C421" s="6">
        <v>2029</v>
      </c>
      <c r="D421" s="8">
        <v>763.17927823793241</v>
      </c>
      <c r="E421" s="8">
        <v>362.8051735923566</v>
      </c>
      <c r="F421" s="8">
        <v>1125.9844518302889</v>
      </c>
      <c r="G421" s="8">
        <v>318.11384499311026</v>
      </c>
      <c r="H421" s="8">
        <v>185.01810831738831</v>
      </c>
      <c r="I421" s="8">
        <v>503.1319533104986</v>
      </c>
      <c r="J421" s="12">
        <v>0.12915411680940792</v>
      </c>
      <c r="K421" s="12">
        <v>0.11532633135173648</v>
      </c>
      <c r="L421" s="8">
        <v>14.738175418556867</v>
      </c>
      <c r="M421" s="8">
        <v>8.1880553191944205</v>
      </c>
      <c r="N421" s="8">
        <v>23.999010769416657</v>
      </c>
      <c r="O421" s="8">
        <v>13.393040807677423</v>
      </c>
      <c r="P421" s="15">
        <v>1.442907999256644</v>
      </c>
      <c r="Q421" s="15">
        <v>1.3845054987276737</v>
      </c>
      <c r="R421" s="8">
        <v>3.8710158394504677</v>
      </c>
      <c r="S421" s="8">
        <v>0</v>
      </c>
      <c r="T421" s="8">
        <v>4.1990773511035107</v>
      </c>
      <c r="U421" s="8">
        <v>0</v>
      </c>
      <c r="V421" s="8">
        <v>6.2330758716274612</v>
      </c>
      <c r="W421" s="8">
        <v>0</v>
      </c>
      <c r="X421" s="8">
        <v>5909.0588599986504</v>
      </c>
      <c r="Y421" s="8">
        <v>3533.3089563773156</v>
      </c>
    </row>
    <row r="422" spans="1:25" x14ac:dyDescent="0.2">
      <c r="A422" s="6" t="str">
        <f t="shared" si="79"/>
        <v>16- Social Cost Included for Idaho&amp;2030</v>
      </c>
      <c r="B422" s="6" t="str">
        <f>'Scenario List'!$A$18</f>
        <v>16- Social Cost Included for Idaho</v>
      </c>
      <c r="C422" s="6">
        <v>2030</v>
      </c>
      <c r="D422" s="8">
        <v>789.38706752831126</v>
      </c>
      <c r="E422" s="8">
        <v>374.22836228461358</v>
      </c>
      <c r="F422" s="8">
        <v>1163.615429812925</v>
      </c>
      <c r="G422" s="8">
        <v>322.67256141374099</v>
      </c>
      <c r="H422" s="8">
        <v>190.26335038495736</v>
      </c>
      <c r="I422" s="8">
        <v>512.93591179869838</v>
      </c>
      <c r="J422" s="12">
        <v>0.13278462711138045</v>
      </c>
      <c r="K422" s="12">
        <v>0.11838707972156524</v>
      </c>
      <c r="L422" s="8">
        <v>12.488223954078791</v>
      </c>
      <c r="M422" s="8">
        <v>9.0347227538524493</v>
      </c>
      <c r="N422" s="8">
        <v>21.213636657182064</v>
      </c>
      <c r="O422" s="8">
        <v>16.389242884224032</v>
      </c>
      <c r="P422" s="15">
        <v>1.3660334997859043</v>
      </c>
      <c r="Q422" s="15">
        <v>1.4482233725931652</v>
      </c>
      <c r="R422" s="8">
        <v>18.108068845705507</v>
      </c>
      <c r="S422" s="8">
        <v>0</v>
      </c>
      <c r="T422" s="8">
        <v>27.228305936522677</v>
      </c>
      <c r="U422" s="8">
        <v>0</v>
      </c>
      <c r="V422" s="8">
        <v>666.52483931614233</v>
      </c>
      <c r="W422" s="8">
        <v>0</v>
      </c>
      <c r="X422" s="8">
        <v>5944.8679015091802</v>
      </c>
      <c r="Y422" s="8">
        <v>3552.3191044670184</v>
      </c>
    </row>
    <row r="423" spans="1:25" x14ac:dyDescent="0.2">
      <c r="A423" s="6" t="str">
        <f t="shared" si="79"/>
        <v>16- Social Cost Included for Idaho&amp;2031</v>
      </c>
      <c r="B423" s="6" t="str">
        <f>'Scenario List'!$A$18</f>
        <v>16- Social Cost Included for Idaho</v>
      </c>
      <c r="C423" s="6">
        <v>2031</v>
      </c>
      <c r="D423" s="8">
        <v>824.53010086531276</v>
      </c>
      <c r="E423" s="8">
        <v>388.21179462718089</v>
      </c>
      <c r="F423" s="8">
        <v>1212.7418954924938</v>
      </c>
      <c r="G423" s="8">
        <v>324.34897806710126</v>
      </c>
      <c r="H423" s="8">
        <v>190.55141173062316</v>
      </c>
      <c r="I423" s="8">
        <v>514.90038979772442</v>
      </c>
      <c r="J423" s="12">
        <v>0.13760909977514246</v>
      </c>
      <c r="K423" s="12">
        <v>0.12192058326254161</v>
      </c>
      <c r="L423" s="8">
        <v>11.215367891423854</v>
      </c>
      <c r="M423" s="8">
        <v>8.2654098391906032</v>
      </c>
      <c r="N423" s="8">
        <v>20.668811811682673</v>
      </c>
      <c r="O423" s="8">
        <v>14.305455546779697</v>
      </c>
      <c r="P423" s="15">
        <v>1.2603594649865011</v>
      </c>
      <c r="Q423" s="15">
        <v>1.3178533229172604</v>
      </c>
      <c r="R423" s="8">
        <v>17.486043113795098</v>
      </c>
      <c r="S423" s="8">
        <v>0</v>
      </c>
      <c r="T423" s="8">
        <v>26.558553598461749</v>
      </c>
      <c r="U423" s="8">
        <v>0</v>
      </c>
      <c r="V423" s="8">
        <v>666.28914895642993</v>
      </c>
      <c r="W423" s="8">
        <v>0</v>
      </c>
      <c r="X423" s="8">
        <v>5991.8283181317256</v>
      </c>
      <c r="Y423" s="8">
        <v>3575.3667535848062</v>
      </c>
    </row>
    <row r="424" spans="1:25" x14ac:dyDescent="0.2">
      <c r="A424" s="6" t="str">
        <f t="shared" si="79"/>
        <v>16- Social Cost Included for Idaho&amp;2032</v>
      </c>
      <c r="B424" s="6" t="str">
        <f>'Scenario List'!$A$18</f>
        <v>16- Social Cost Included for Idaho</v>
      </c>
      <c r="C424" s="6">
        <v>2032</v>
      </c>
      <c r="D424" s="8">
        <v>859.13458449078553</v>
      </c>
      <c r="E424" s="8">
        <v>405.66744388270774</v>
      </c>
      <c r="F424" s="8">
        <v>1264.8020283734932</v>
      </c>
      <c r="G424" s="8">
        <v>330.57900566519925</v>
      </c>
      <c r="H424" s="8">
        <v>194.44965916673027</v>
      </c>
      <c r="I424" s="8">
        <v>525.02866483192952</v>
      </c>
      <c r="J424" s="12">
        <v>0.14215844846725931</v>
      </c>
      <c r="K424" s="12">
        <v>0.12649974036610281</v>
      </c>
      <c r="L424" s="8">
        <v>9.2982055343691332</v>
      </c>
      <c r="M424" s="8">
        <v>8.0371536636847125</v>
      </c>
      <c r="N424" s="8">
        <v>15.828876754664009</v>
      </c>
      <c r="O424" s="8">
        <v>15.052253532528397</v>
      </c>
      <c r="P424" s="15">
        <v>1.1065383643846622</v>
      </c>
      <c r="Q424" s="15">
        <v>1.2400831169937785</v>
      </c>
      <c r="R424" s="8">
        <v>67.066083623829897</v>
      </c>
      <c r="S424" s="8">
        <v>19</v>
      </c>
      <c r="T424" s="8">
        <v>65.063076658737145</v>
      </c>
      <c r="U424" s="8">
        <v>19</v>
      </c>
      <c r="V424" s="8">
        <v>1495.3176920500125</v>
      </c>
      <c r="W424" s="8">
        <v>157.85197336357965</v>
      </c>
      <c r="X424" s="8">
        <v>6043.5000082928864</v>
      </c>
      <c r="Y424" s="8">
        <v>3598.8066925674002</v>
      </c>
    </row>
    <row r="425" spans="1:25" x14ac:dyDescent="0.2">
      <c r="A425" s="6" t="str">
        <f t="shared" si="79"/>
        <v>16- Social Cost Included for Idaho&amp;2033</v>
      </c>
      <c r="B425" s="6" t="str">
        <f>'Scenario List'!$A$18</f>
        <v>16- Social Cost Included for Idaho</v>
      </c>
      <c r="C425" s="6">
        <v>2033</v>
      </c>
      <c r="D425" s="8">
        <v>885.32459921508985</v>
      </c>
      <c r="E425" s="8">
        <v>416.97901228928538</v>
      </c>
      <c r="F425" s="8">
        <v>1302.3036115043751</v>
      </c>
      <c r="G425" s="8">
        <v>330.48925578680814</v>
      </c>
      <c r="H425" s="8">
        <v>195.52889978378028</v>
      </c>
      <c r="I425" s="8">
        <v>526.01815557058842</v>
      </c>
      <c r="J425" s="12">
        <v>0.14536607423638334</v>
      </c>
      <c r="K425" s="12">
        <v>0.12893573405644115</v>
      </c>
      <c r="L425" s="8">
        <v>9.6107435479057557</v>
      </c>
      <c r="M425" s="8">
        <v>8.0103563898820038</v>
      </c>
      <c r="N425" s="8">
        <v>15.486396482450118</v>
      </c>
      <c r="O425" s="8">
        <v>14.322887310681523</v>
      </c>
      <c r="P425" s="15">
        <v>1.0838274805844721</v>
      </c>
      <c r="Q425" s="15">
        <v>1.2104176768359198</v>
      </c>
      <c r="R425" s="8">
        <v>66.218261433744175</v>
      </c>
      <c r="S425" s="8">
        <v>19</v>
      </c>
      <c r="T425" s="8">
        <v>64.312025776635636</v>
      </c>
      <c r="U425" s="8">
        <v>19</v>
      </c>
      <c r="V425" s="8">
        <v>1490.3457192427115</v>
      </c>
      <c r="W425" s="8">
        <v>157.88901723225914</v>
      </c>
      <c r="X425" s="8">
        <v>6090.3109880744369</v>
      </c>
      <c r="Y425" s="8">
        <v>3624.4168649528215</v>
      </c>
    </row>
    <row r="426" spans="1:25" x14ac:dyDescent="0.2">
      <c r="A426" s="6" t="str">
        <f t="shared" si="79"/>
        <v>16- Social Cost Included for Idaho&amp;2034</v>
      </c>
      <c r="B426" s="6" t="str">
        <f>'Scenario List'!$A$18</f>
        <v>16- Social Cost Included for Idaho</v>
      </c>
      <c r="C426" s="6">
        <v>2034</v>
      </c>
      <c r="D426" s="8">
        <v>896.9538483719673</v>
      </c>
      <c r="E426" s="8">
        <v>419.1019973495824</v>
      </c>
      <c r="F426" s="8">
        <v>1316.0558457215498</v>
      </c>
      <c r="G426" s="8">
        <v>315.46786755925149</v>
      </c>
      <c r="H426" s="8">
        <v>186.86624919050922</v>
      </c>
      <c r="I426" s="8">
        <v>502.33411674976071</v>
      </c>
      <c r="J426" s="12">
        <v>0.14603991539569233</v>
      </c>
      <c r="K426" s="12">
        <v>0.12850545082445852</v>
      </c>
      <c r="L426" s="8">
        <v>9.9253524032898071</v>
      </c>
      <c r="M426" s="8">
        <v>9.2817334977174859</v>
      </c>
      <c r="N426" s="8">
        <v>17.528754844705304</v>
      </c>
      <c r="O426" s="8">
        <v>17.106386154533624</v>
      </c>
      <c r="P426" s="15">
        <v>1.1062360131834481</v>
      </c>
      <c r="Q426" s="15">
        <v>1.1830499255774227</v>
      </c>
      <c r="R426" s="8">
        <v>65.272366063020755</v>
      </c>
      <c r="S426" s="8">
        <v>19</v>
      </c>
      <c r="T426" s="8">
        <v>63.410047740802263</v>
      </c>
      <c r="U426" s="8">
        <v>19</v>
      </c>
      <c r="V426" s="8">
        <v>1487.9553894273765</v>
      </c>
      <c r="W426" s="8">
        <v>157.28139424506296</v>
      </c>
      <c r="X426" s="8">
        <v>6141.8403724878108</v>
      </c>
      <c r="Y426" s="8">
        <v>3650.8264847791525</v>
      </c>
    </row>
    <row r="427" spans="1:25" x14ac:dyDescent="0.2">
      <c r="A427" s="6" t="str">
        <f t="shared" si="79"/>
        <v>16- Social Cost Included for Idaho&amp;2035</v>
      </c>
      <c r="B427" s="6" t="str">
        <f>'Scenario List'!$A$18</f>
        <v>16- Social Cost Included for Idaho</v>
      </c>
      <c r="C427" s="6">
        <v>2035</v>
      </c>
      <c r="D427" s="8">
        <v>929.94973839221768</v>
      </c>
      <c r="E427" s="8">
        <v>434.99394987081496</v>
      </c>
      <c r="F427" s="8">
        <v>1364.9436882630325</v>
      </c>
      <c r="G427" s="8">
        <v>323.80146162712413</v>
      </c>
      <c r="H427" s="8">
        <v>193.25751579162863</v>
      </c>
      <c r="I427" s="8">
        <v>517.05897741875276</v>
      </c>
      <c r="J427" s="12">
        <v>0.15010876076816623</v>
      </c>
      <c r="K427" s="12">
        <v>0.13233462280307562</v>
      </c>
      <c r="L427" s="8">
        <v>11.008358386679308</v>
      </c>
      <c r="M427" s="8">
        <v>10.063964264959154</v>
      </c>
      <c r="N427" s="8">
        <v>18.423182111812054</v>
      </c>
      <c r="O427" s="8">
        <v>18.359743807140362</v>
      </c>
      <c r="P427" s="15">
        <v>1.1178953158043452</v>
      </c>
      <c r="Q427" s="15">
        <v>1.184735001764377</v>
      </c>
      <c r="R427" s="8">
        <v>64.433679530781845</v>
      </c>
      <c r="S427" s="8">
        <v>19</v>
      </c>
      <c r="T427" s="8">
        <v>62.613569942152203</v>
      </c>
      <c r="U427" s="8">
        <v>19</v>
      </c>
      <c r="V427" s="8">
        <v>1498.79341917784</v>
      </c>
      <c r="W427" s="8">
        <v>158.50710363837348</v>
      </c>
      <c r="X427" s="8">
        <v>6195.1729774684363</v>
      </c>
      <c r="Y427" s="8">
        <v>3678.4084684028162</v>
      </c>
    </row>
    <row r="428" spans="1:25" x14ac:dyDescent="0.2">
      <c r="A428" s="6" t="str">
        <f t="shared" si="79"/>
        <v>16- Social Cost Included for Idaho&amp;2036</v>
      </c>
      <c r="B428" s="6" t="str">
        <f>'Scenario List'!$A$18</f>
        <v>16- Social Cost Included for Idaho</v>
      </c>
      <c r="C428" s="6">
        <v>2036</v>
      </c>
      <c r="D428" s="8">
        <v>972.51987098365794</v>
      </c>
      <c r="E428" s="8">
        <v>455.13332435906887</v>
      </c>
      <c r="F428" s="8">
        <v>1427.6531953427268</v>
      </c>
      <c r="G428" s="8">
        <v>339.20155446637773</v>
      </c>
      <c r="H428" s="8">
        <v>202.58355867653916</v>
      </c>
      <c r="I428" s="8">
        <v>541.78511314291688</v>
      </c>
      <c r="J428" s="12">
        <v>0.15550930636922874</v>
      </c>
      <c r="K428" s="12">
        <v>0.13730614893589094</v>
      </c>
      <c r="L428" s="8">
        <v>11.651970007718493</v>
      </c>
      <c r="M428" s="8">
        <v>9.9378099547215299</v>
      </c>
      <c r="N428" s="8">
        <v>21.067812145725426</v>
      </c>
      <c r="O428" s="8">
        <v>17.530620896725608</v>
      </c>
      <c r="P428" s="15">
        <v>1.1071484381336723</v>
      </c>
      <c r="Q428" s="15">
        <v>1.1632062461186194</v>
      </c>
      <c r="R428" s="8">
        <v>126.98796316163386</v>
      </c>
      <c r="S428" s="8">
        <v>54.095477277775245</v>
      </c>
      <c r="T428" s="8">
        <v>121.61386813101873</v>
      </c>
      <c r="U428" s="8">
        <v>52.109966010342227</v>
      </c>
      <c r="V428" s="8">
        <v>1504.2553699199557</v>
      </c>
      <c r="W428" s="8">
        <v>159.28954400796857</v>
      </c>
      <c r="X428" s="8">
        <v>6253.7728042756826</v>
      </c>
      <c r="Y428" s="8">
        <v>3706.9483095880646</v>
      </c>
    </row>
    <row r="429" spans="1:25" x14ac:dyDescent="0.2">
      <c r="A429" s="6" t="str">
        <f t="shared" si="79"/>
        <v>16- Social Cost Included for Idaho&amp;2037</v>
      </c>
      <c r="B429" s="6" t="str">
        <f>'Scenario List'!$A$18</f>
        <v>16- Social Cost Included for Idaho</v>
      </c>
      <c r="C429" s="6">
        <v>2037</v>
      </c>
      <c r="D429" s="8">
        <v>1006.6630667254245</v>
      </c>
      <c r="E429" s="8">
        <v>471.26906871513063</v>
      </c>
      <c r="F429" s="8">
        <v>1477.9321354405552</v>
      </c>
      <c r="G429" s="8">
        <v>345.36807126392642</v>
      </c>
      <c r="H429" s="8">
        <v>206.98301343768702</v>
      </c>
      <c r="I429" s="8">
        <v>552.35108470161344</v>
      </c>
      <c r="J429" s="12">
        <v>0.15957668727947832</v>
      </c>
      <c r="K429" s="12">
        <v>0.14083905980021402</v>
      </c>
      <c r="L429" s="8">
        <v>12.812324166121535</v>
      </c>
      <c r="M429" s="8">
        <v>11.007356652374511</v>
      </c>
      <c r="N429" s="8">
        <v>22.026115981048818</v>
      </c>
      <c r="O429" s="8">
        <v>19.193379464157601</v>
      </c>
      <c r="P429" s="15">
        <v>1.1109205376890001</v>
      </c>
      <c r="Q429" s="15">
        <v>1.1328432924979432</v>
      </c>
      <c r="R429" s="8">
        <v>126.27988412555899</v>
      </c>
      <c r="S429" s="8">
        <v>54.095477277775316</v>
      </c>
      <c r="T429" s="8">
        <v>120.92392183948515</v>
      </c>
      <c r="U429" s="8">
        <v>52.104526253445222</v>
      </c>
      <c r="V429" s="8">
        <v>1506.3331818274328</v>
      </c>
      <c r="W429" s="8">
        <v>159.12793702429548</v>
      </c>
      <c r="X429" s="8">
        <v>6308.3341551161657</v>
      </c>
      <c r="Y429" s="8">
        <v>3737.865127719122</v>
      </c>
    </row>
    <row r="430" spans="1:25" x14ac:dyDescent="0.2">
      <c r="A430" s="6" t="str">
        <f t="shared" si="79"/>
        <v>16- Social Cost Included for Idaho&amp;2038</v>
      </c>
      <c r="B430" s="6" t="str">
        <f>'Scenario List'!$A$18</f>
        <v>16- Social Cost Included for Idaho</v>
      </c>
      <c r="C430" s="6">
        <v>2038</v>
      </c>
      <c r="D430" s="8">
        <v>1050.1889266486301</v>
      </c>
      <c r="E430" s="8">
        <v>491.98802046556455</v>
      </c>
      <c r="F430" s="8">
        <v>1542.1769471141947</v>
      </c>
      <c r="G430" s="8">
        <v>357.36399956475242</v>
      </c>
      <c r="H430" s="8">
        <v>214.41355002081863</v>
      </c>
      <c r="I430" s="8">
        <v>571.77754958557102</v>
      </c>
      <c r="J430" s="12">
        <v>0.16489784492804374</v>
      </c>
      <c r="K430" s="12">
        <v>0.14560157255920472</v>
      </c>
      <c r="L430" s="8">
        <v>14.881792967181948</v>
      </c>
      <c r="M430" s="8">
        <v>12.938087849218203</v>
      </c>
      <c r="N430" s="8">
        <v>26.939382735798588</v>
      </c>
      <c r="O430" s="8">
        <v>23.286412633169746</v>
      </c>
      <c r="P430" s="15">
        <v>1.0748607351599782</v>
      </c>
      <c r="Q430" s="15">
        <v>1.0838943776333174</v>
      </c>
      <c r="R430" s="8">
        <v>172.8270149749566</v>
      </c>
      <c r="S430" s="8">
        <v>80.280322559408219</v>
      </c>
      <c r="T430" s="8">
        <v>164.82167939291458</v>
      </c>
      <c r="U430" s="8">
        <v>76.803916753461408</v>
      </c>
      <c r="V430" s="8">
        <v>1503.4278192857773</v>
      </c>
      <c r="W430" s="8">
        <v>159.07641318659483</v>
      </c>
      <c r="X430" s="8">
        <v>6368.7243887686927</v>
      </c>
      <c r="Y430" s="8">
        <v>3770.1729843294302</v>
      </c>
    </row>
    <row r="431" spans="1:25" x14ac:dyDescent="0.2">
      <c r="A431" s="6" t="str">
        <f t="shared" si="79"/>
        <v>16- Social Cost Included for Idaho&amp;2039</v>
      </c>
      <c r="B431" s="6" t="str">
        <f>'Scenario List'!$A$18</f>
        <v>16- Social Cost Included for Idaho</v>
      </c>
      <c r="C431" s="6">
        <v>2039</v>
      </c>
      <c r="D431" s="8">
        <v>1096.3957978209619</v>
      </c>
      <c r="E431" s="8">
        <v>514.19110264538699</v>
      </c>
      <c r="F431" s="8">
        <v>1610.5869004663489</v>
      </c>
      <c r="G431" s="8">
        <v>374.09047363539628</v>
      </c>
      <c r="H431" s="8">
        <v>224.07612905778021</v>
      </c>
      <c r="I431" s="8">
        <v>598.16660269317651</v>
      </c>
      <c r="J431" s="12">
        <v>0.1704522536810279</v>
      </c>
      <c r="K431" s="12">
        <v>0.15068342961859776</v>
      </c>
      <c r="L431" s="8">
        <v>14.385316588503521</v>
      </c>
      <c r="M431" s="8">
        <v>12.706654324354822</v>
      </c>
      <c r="N431" s="8">
        <v>25.751433116964847</v>
      </c>
      <c r="O431" s="8">
        <v>21.565867525479305</v>
      </c>
      <c r="P431" s="15">
        <v>1.1003653185358286</v>
      </c>
      <c r="Q431" s="15">
        <v>1.0693811198868441</v>
      </c>
      <c r="R431" s="8">
        <v>172.11794382320292</v>
      </c>
      <c r="S431" s="8">
        <v>80.280322559408219</v>
      </c>
      <c r="T431" s="8">
        <v>164.13529465926078</v>
      </c>
      <c r="U431" s="8">
        <v>76.803916753461408</v>
      </c>
      <c r="V431" s="8">
        <v>1505.1555519448962</v>
      </c>
      <c r="W431" s="8">
        <v>160.00246461675454</v>
      </c>
      <c r="X431" s="8">
        <v>6432.2751629478498</v>
      </c>
      <c r="Y431" s="8">
        <v>3804.1355020088831</v>
      </c>
    </row>
    <row r="432" spans="1:25" x14ac:dyDescent="0.2">
      <c r="A432" s="6" t="str">
        <f t="shared" si="79"/>
        <v>16- Social Cost Included for Idaho&amp;2040</v>
      </c>
      <c r="B432" s="6" t="str">
        <f>'Scenario List'!$A$18</f>
        <v>16- Social Cost Included for Idaho</v>
      </c>
      <c r="C432" s="6">
        <v>2040</v>
      </c>
      <c r="D432" s="8">
        <v>1134.9279504710291</v>
      </c>
      <c r="E432" s="8">
        <v>532.84396278102406</v>
      </c>
      <c r="F432" s="8">
        <v>1667.7719132520533</v>
      </c>
      <c r="G432" s="8">
        <v>382.32658689322597</v>
      </c>
      <c r="H432" s="8">
        <v>231.54854963844298</v>
      </c>
      <c r="I432" s="8">
        <v>613.87513653166889</v>
      </c>
      <c r="J432" s="12">
        <v>0.17452799398261634</v>
      </c>
      <c r="K432" s="12">
        <v>0.15458451127864292</v>
      </c>
      <c r="L432" s="8">
        <v>16.032391623652053</v>
      </c>
      <c r="M432" s="8">
        <v>14.299829398403659</v>
      </c>
      <c r="N432" s="8">
        <v>29.863313629495877</v>
      </c>
      <c r="O432" s="8">
        <v>27.444009046722726</v>
      </c>
      <c r="P432" s="15">
        <v>1.1788428121637879</v>
      </c>
      <c r="Q432" s="15">
        <v>1.051925766649793</v>
      </c>
      <c r="R432" s="8">
        <v>202.86982663258874</v>
      </c>
      <c r="S432" s="8">
        <v>97.724322559408222</v>
      </c>
      <c r="T432" s="8">
        <v>194.93672983372809</v>
      </c>
      <c r="U432" s="8">
        <v>94.257415129980387</v>
      </c>
      <c r="V432" s="8">
        <v>1346.4818268235222</v>
      </c>
      <c r="W432" s="8">
        <v>70.31055625467576</v>
      </c>
      <c r="X432" s="8">
        <v>6502.8418912788984</v>
      </c>
      <c r="Y432" s="8">
        <v>3840.0106920816338</v>
      </c>
    </row>
    <row r="433" spans="1:25" x14ac:dyDescent="0.2">
      <c r="A433" s="6" t="str">
        <f t="shared" si="79"/>
        <v>16- Social Cost Included for Idaho&amp;2041</v>
      </c>
      <c r="B433" s="6" t="str">
        <f>'Scenario List'!$A$18</f>
        <v>16- Social Cost Included for Idaho</v>
      </c>
      <c r="C433" s="6">
        <v>2041</v>
      </c>
      <c r="D433" s="8">
        <v>1173.5848633566445</v>
      </c>
      <c r="E433" s="8">
        <v>544.83616664100145</v>
      </c>
      <c r="F433" s="8">
        <v>1718.421029997646</v>
      </c>
      <c r="G433" s="8">
        <v>385.48116384351022</v>
      </c>
      <c r="H433" s="8">
        <v>229.57747522988268</v>
      </c>
      <c r="I433" s="8">
        <v>615.0586390733929</v>
      </c>
      <c r="J433" s="12">
        <v>0.17859680565763197</v>
      </c>
      <c r="K433" s="12">
        <v>0.15624753354128881</v>
      </c>
      <c r="L433" s="8">
        <v>14.478545142841506</v>
      </c>
      <c r="M433" s="8">
        <v>14.389809177948216</v>
      </c>
      <c r="N433" s="8">
        <v>22.575759031723038</v>
      </c>
      <c r="O433" s="8">
        <v>26.341380373231488</v>
      </c>
      <c r="P433" s="15">
        <v>1.2688857415921595</v>
      </c>
      <c r="Q433" s="15">
        <v>1.0095941009765625</v>
      </c>
      <c r="R433" s="8">
        <v>270.80197282506401</v>
      </c>
      <c r="S433" s="8">
        <v>123.59347427570364</v>
      </c>
      <c r="T433" s="8">
        <v>261.59673493543153</v>
      </c>
      <c r="U433" s="8">
        <v>118.64952284555969</v>
      </c>
      <c r="V433" s="8">
        <v>1741.3991479253907</v>
      </c>
      <c r="W433" s="8">
        <v>70.924346005219874</v>
      </c>
      <c r="X433" s="8">
        <v>6571.1413988355043</v>
      </c>
      <c r="Y433" s="8">
        <v>3878.9446191334391</v>
      </c>
    </row>
    <row r="434" spans="1:25" x14ac:dyDescent="0.2">
      <c r="A434" s="6" t="str">
        <f t="shared" si="79"/>
        <v>16- Social Cost Included for Idaho&amp;2042</v>
      </c>
      <c r="B434" s="6" t="str">
        <f>'Scenario List'!$A$18</f>
        <v>16- Social Cost Included for Idaho</v>
      </c>
      <c r="C434" s="6">
        <v>2042</v>
      </c>
      <c r="D434" s="8">
        <v>1274.8510115638624</v>
      </c>
      <c r="E434" s="8">
        <v>577.85955820524282</v>
      </c>
      <c r="F434" s="8">
        <v>1852.7105697691052</v>
      </c>
      <c r="G434" s="8">
        <v>407.50752392847807</v>
      </c>
      <c r="H434" s="8">
        <v>249.57623543071668</v>
      </c>
      <c r="I434" s="8">
        <v>657.0837593591948</v>
      </c>
      <c r="J434" s="12">
        <v>0.19177411252520632</v>
      </c>
      <c r="K434" s="12">
        <v>0.1637634751878026</v>
      </c>
      <c r="L434" s="8">
        <v>16.955657954133258</v>
      </c>
      <c r="M434" s="8">
        <v>19.368678753924449</v>
      </c>
      <c r="N434" s="8">
        <v>29.628215928170889</v>
      </c>
      <c r="O434" s="8">
        <v>36.665949614853076</v>
      </c>
      <c r="P434" s="15">
        <v>0.8494272442557752</v>
      </c>
      <c r="Q434" s="15">
        <v>0.77608248486169651</v>
      </c>
      <c r="R434" s="8">
        <v>482.10278417904419</v>
      </c>
      <c r="S434" s="8">
        <v>233.86065535283799</v>
      </c>
      <c r="T434" s="8">
        <v>466.58781459880504</v>
      </c>
      <c r="U434" s="8">
        <v>222.66129513090263</v>
      </c>
      <c r="V434" s="8">
        <v>1782.1265140556502</v>
      </c>
      <c r="W434" s="8">
        <v>332.91359327241571</v>
      </c>
      <c r="X434" s="8">
        <v>6647.669984113727</v>
      </c>
      <c r="Y434" s="8">
        <v>3920.1917794141104</v>
      </c>
    </row>
    <row r="435" spans="1:25" x14ac:dyDescent="0.2">
      <c r="A435" s="6" t="str">
        <f t="shared" si="79"/>
        <v>16- Social Cost Included for Idaho&amp;2043</v>
      </c>
      <c r="B435" s="6" t="str">
        <f>'Scenario List'!$A$18</f>
        <v>16- Social Cost Included for Idaho</v>
      </c>
      <c r="C435" s="6">
        <v>2043</v>
      </c>
      <c r="D435" s="8">
        <v>1340.0726466324131</v>
      </c>
      <c r="E435" s="8">
        <v>609.85849661928114</v>
      </c>
      <c r="F435" s="8">
        <v>1949.9311432516943</v>
      </c>
      <c r="G435" s="8">
        <v>440.1439721631312</v>
      </c>
      <c r="H435" s="8">
        <v>269.55186878416885</v>
      </c>
      <c r="I435" s="8">
        <v>709.69584094729998</v>
      </c>
      <c r="J435" s="12">
        <v>0.19912499163788774</v>
      </c>
      <c r="K435" s="12">
        <v>0.17070299490385396</v>
      </c>
      <c r="L435" s="8">
        <v>18.582333210897495</v>
      </c>
      <c r="M435" s="8">
        <v>19.680761326873437</v>
      </c>
      <c r="N435" s="8">
        <v>33.914795101482284</v>
      </c>
      <c r="O435" s="8">
        <v>38.159132457439625</v>
      </c>
      <c r="P435" s="15">
        <v>0.96746510714046563</v>
      </c>
      <c r="Q435" s="15">
        <v>0.77870746147992143</v>
      </c>
      <c r="R435" s="8">
        <v>527.76639882227028</v>
      </c>
      <c r="S435" s="8">
        <v>259.72980706913341</v>
      </c>
      <c r="T435" s="8">
        <v>509.59201470432168</v>
      </c>
      <c r="U435" s="8">
        <v>247.06290122300086</v>
      </c>
      <c r="V435" s="8">
        <v>1824.2718621309436</v>
      </c>
      <c r="W435" s="8">
        <v>352.08950182734407</v>
      </c>
      <c r="X435" s="8">
        <v>6729.8064176161197</v>
      </c>
      <c r="Y435" s="8">
        <v>3964.2524672000386</v>
      </c>
    </row>
    <row r="436" spans="1:25" x14ac:dyDescent="0.2">
      <c r="A436" s="6" t="str">
        <f t="shared" si="79"/>
        <v>16- Social Cost Included for Idaho&amp;2044</v>
      </c>
      <c r="B436" s="6" t="str">
        <f>'Scenario List'!$A$18</f>
        <v>16- Social Cost Included for Idaho</v>
      </c>
      <c r="C436" s="6">
        <v>2044</v>
      </c>
      <c r="D436" s="8">
        <v>1405.4095908188915</v>
      </c>
      <c r="E436" s="8">
        <v>638.78461190706059</v>
      </c>
      <c r="F436" s="8">
        <v>2044.194202725952</v>
      </c>
      <c r="G436" s="8">
        <v>476.66840835502001</v>
      </c>
      <c r="H436" s="8">
        <v>292.86442612022296</v>
      </c>
      <c r="I436" s="8">
        <v>769.53283447524291</v>
      </c>
      <c r="J436" s="12">
        <v>0.20601322439862185</v>
      </c>
      <c r="K436" s="12">
        <v>0.17650638653744435</v>
      </c>
      <c r="L436" s="8">
        <v>19.765244294277718</v>
      </c>
      <c r="M436" s="8">
        <v>23.056678082238594</v>
      </c>
      <c r="N436" s="8">
        <v>35.445514553081026</v>
      </c>
      <c r="O436" s="8">
        <v>42.22512896902785</v>
      </c>
      <c r="P436" s="15">
        <v>1.0456344836940528</v>
      </c>
      <c r="Q436" s="15">
        <v>0.85610153210444129</v>
      </c>
      <c r="R436" s="8">
        <v>564.37718927082688</v>
      </c>
      <c r="S436" s="8">
        <v>277.39722288489048</v>
      </c>
      <c r="T436" s="8">
        <v>549.9224298129501</v>
      </c>
      <c r="U436" s="8">
        <v>264.76492607112442</v>
      </c>
      <c r="V436" s="8">
        <v>2085.5724381110399</v>
      </c>
      <c r="W436" s="8">
        <v>335.36632639622013</v>
      </c>
      <c r="X436" s="8">
        <v>6821.938712533899</v>
      </c>
      <c r="Y436" s="8">
        <v>4012.0352692574097</v>
      </c>
    </row>
    <row r="437" spans="1:25" x14ac:dyDescent="0.2">
      <c r="A437" s="6" t="str">
        <f t="shared" si="79"/>
        <v>16- Social Cost Included for Idaho&amp;2045</v>
      </c>
      <c r="B437" s="6" t="str">
        <f>'Scenario List'!$A$18</f>
        <v>16- Social Cost Included for Idaho</v>
      </c>
      <c r="C437" s="6">
        <v>2045</v>
      </c>
      <c r="D437" s="8">
        <v>1627.5466129913868</v>
      </c>
      <c r="E437" s="8">
        <v>690.07974376693539</v>
      </c>
      <c r="F437" s="8">
        <v>2317.6263567583223</v>
      </c>
      <c r="G437" s="8">
        <v>572.29887509683647</v>
      </c>
      <c r="H437" s="8">
        <v>334.73335380899368</v>
      </c>
      <c r="I437" s="8">
        <v>907.03222890583015</v>
      </c>
      <c r="J437" s="12">
        <v>0.23536266277583834</v>
      </c>
      <c r="K437" s="12">
        <v>0.18790292382846582</v>
      </c>
      <c r="L437" s="8">
        <v>20.430990996093769</v>
      </c>
      <c r="M437" s="8">
        <v>21.65579191499749</v>
      </c>
      <c r="N437" s="8">
        <v>35.445514553081026</v>
      </c>
      <c r="O437" s="8">
        <v>41.496410343742113</v>
      </c>
      <c r="P437" s="15">
        <v>0.54092491375662943</v>
      </c>
      <c r="Q437" s="15">
        <v>0.43934749317180632</v>
      </c>
      <c r="R437" s="8">
        <v>913.22361670165867</v>
      </c>
      <c r="S437" s="8">
        <v>365.95579008544519</v>
      </c>
      <c r="T437" s="8">
        <v>894.12560084063909</v>
      </c>
      <c r="U437" s="8">
        <v>348.25232130473989</v>
      </c>
      <c r="V437" s="8">
        <v>3127.7459968676317</v>
      </c>
      <c r="W437" s="8">
        <v>567.6174678476724</v>
      </c>
      <c r="X437" s="8">
        <v>6915.0586324793494</v>
      </c>
      <c r="Y437" s="8">
        <v>4064.3236476782713</v>
      </c>
    </row>
    <row r="438" spans="1:25" x14ac:dyDescent="0.2">
      <c r="A438" s="6" t="str">
        <f t="shared" si="79"/>
        <v>16- Social Cost Included for Idaho&amp;NPV</v>
      </c>
      <c r="B438" s="6" t="str">
        <f>'Scenario List'!$A$18</f>
        <v>16- Social Cost Included for Idaho</v>
      </c>
      <c r="C438" s="3" t="s">
        <v>6</v>
      </c>
      <c r="D438" s="16">
        <f t="shared" ref="D438:E438" si="80">NPV($B$1,D414:D437)</f>
        <v>10201.726998727709</v>
      </c>
      <c r="E438" s="16">
        <f t="shared" si="80"/>
        <v>4802.6799214089342</v>
      </c>
      <c r="F438" s="16">
        <f>NPV($B$1,F414:F437)</f>
        <v>15004.406920136642</v>
      </c>
      <c r="G438" s="16">
        <f t="shared" ref="G438:I438" si="81">NPV($B$1,G414:G437)</f>
        <v>4261.0241325325142</v>
      </c>
      <c r="H438" s="16">
        <f t="shared" si="81"/>
        <v>2483.7499608469275</v>
      </c>
      <c r="I438" s="16">
        <f t="shared" si="81"/>
        <v>6744.774093379443</v>
      </c>
      <c r="L438" s="52">
        <f t="shared" ref="L438:Q438" si="82">NPV($B$1,L414:L437)</f>
        <v>155.04993151572586</v>
      </c>
      <c r="M438" s="52">
        <f t="shared" si="82"/>
        <v>115.36754692978323</v>
      </c>
      <c r="N438" s="52">
        <f>NPV($B$1,N414:N437)</f>
        <v>266.52221930834645</v>
      </c>
      <c r="O438" s="52">
        <f t="shared" si="82"/>
        <v>205.73611125429161</v>
      </c>
      <c r="P438" s="52">
        <f t="shared" si="82"/>
        <v>17.418205085916128</v>
      </c>
      <c r="Q438" s="52">
        <f t="shared" si="82"/>
        <v>18.667982128913163</v>
      </c>
      <c r="X438" s="52">
        <f>-PMT($B$1,22,NPV($B$1,X416:X437))</f>
        <v>6098.1900685519249</v>
      </c>
      <c r="Y438" s="52">
        <f>-PMT($B$1,22,NPV($B$1,Y416:Y437))</f>
        <v>3632.7511902341462</v>
      </c>
    </row>
    <row r="439" spans="1:25" x14ac:dyDescent="0.2">
      <c r="A439" s="6" t="str">
        <f t="shared" si="79"/>
        <v>16- Social Cost Included for Idaho&amp;Levelized</v>
      </c>
      <c r="B439" s="6" t="str">
        <f>'Scenario List'!$A$18</f>
        <v>16- Social Cost Included for Idaho</v>
      </c>
      <c r="C439" s="3" t="s">
        <v>7</v>
      </c>
      <c r="D439" s="16">
        <f t="shared" ref="D439:I439" si="83">-PMT($B$1,COUNT(D414:D437),D438)</f>
        <v>867.50546301235966</v>
      </c>
      <c r="E439" s="16">
        <f t="shared" si="83"/>
        <v>408.39664396446017</v>
      </c>
      <c r="F439" s="16">
        <f t="shared" si="83"/>
        <v>1275.9021069768198</v>
      </c>
      <c r="G439" s="16">
        <f t="shared" si="83"/>
        <v>362.33685859859361</v>
      </c>
      <c r="H439" s="16">
        <f t="shared" si="83"/>
        <v>211.20606933121812</v>
      </c>
      <c r="I439" s="16">
        <f t="shared" si="83"/>
        <v>573.54292792981187</v>
      </c>
      <c r="L439" s="52">
        <f t="shared" ref="L439:Q439" si="84">-PMT($B$1,COUNT(L414:L437),L438)</f>
        <v>13.184695360536427</v>
      </c>
      <c r="M439" s="52">
        <f t="shared" si="84"/>
        <v>9.8102975337806324</v>
      </c>
      <c r="N439" s="52">
        <f t="shared" si="84"/>
        <v>22.663758919740122</v>
      </c>
      <c r="O439" s="52">
        <f t="shared" si="84"/>
        <v>17.494802642167848</v>
      </c>
      <c r="P439" s="52">
        <f t="shared" si="84"/>
        <v>1.4811598143908749</v>
      </c>
      <c r="Q439" s="52">
        <f t="shared" si="84"/>
        <v>1.5874348021927021</v>
      </c>
    </row>
    <row r="440" spans="1:25" ht="15" x14ac:dyDescent="0.25">
      <c r="C440" s="2"/>
      <c r="D440" s="53"/>
      <c r="E440" s="53"/>
      <c r="F440" s="53"/>
      <c r="G440" s="53"/>
      <c r="H440" s="53"/>
      <c r="I440" s="53"/>
      <c r="J440" s="54"/>
      <c r="K440" s="54"/>
      <c r="L440" s="47"/>
      <c r="M440" s="47"/>
      <c r="N440" s="47"/>
      <c r="O440" s="47"/>
      <c r="P440" s="54"/>
      <c r="Q440" s="48"/>
    </row>
    <row r="441" spans="1:25" ht="15" x14ac:dyDescent="0.25">
      <c r="C441" s="2"/>
      <c r="D441" s="53"/>
      <c r="E441" s="53"/>
      <c r="F441" s="53"/>
      <c r="G441" s="53"/>
      <c r="H441" s="53"/>
      <c r="I441" s="53"/>
      <c r="J441" s="54"/>
      <c r="K441" s="54"/>
      <c r="L441" s="47"/>
      <c r="M441" s="47"/>
      <c r="N441" s="47"/>
      <c r="O441" s="47"/>
      <c r="P441" s="54"/>
      <c r="Q441" s="48"/>
    </row>
    <row r="442" spans="1:25" x14ac:dyDescent="0.2">
      <c r="A442" s="6" t="str">
        <f t="shared" ref="A442:A466" si="85">B442&amp;"&amp;"&amp;C442</f>
        <v>17- WA Maximum Customer Benefits&amp;2023</v>
      </c>
      <c r="B442" s="6" t="str">
        <f>'Scenario List'!$A$19</f>
        <v>17- WA Maximum Customer Benefits</v>
      </c>
      <c r="C442" s="6">
        <v>2023</v>
      </c>
      <c r="D442" s="8">
        <v>644.49443759057522</v>
      </c>
      <c r="E442" s="8">
        <v>316.40458518431723</v>
      </c>
      <c r="F442" s="8">
        <v>960.8990227748925</v>
      </c>
      <c r="G442" s="8">
        <v>410.83611660284419</v>
      </c>
      <c r="H442" s="8">
        <v>125.84150337318708</v>
      </c>
      <c r="I442" s="8">
        <v>536.67761997603122</v>
      </c>
      <c r="J442" s="12">
        <v>0.11233518330791811</v>
      </c>
      <c r="K442" s="12">
        <v>0.10242043684339118</v>
      </c>
      <c r="L442" s="8">
        <v>16.800868474624032</v>
      </c>
      <c r="M442" s="8">
        <v>9.4400052677625244</v>
      </c>
      <c r="N442" s="8">
        <v>27.71049580712625</v>
      </c>
      <c r="O442" s="8">
        <v>15.749598666323308</v>
      </c>
      <c r="P442" s="15">
        <v>2.5071495936225858</v>
      </c>
      <c r="Q442" s="15">
        <v>2.8792050200375625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5737.2447225547639</v>
      </c>
      <c r="Y442" s="8">
        <v>3475.1257793828381</v>
      </c>
    </row>
    <row r="443" spans="1:25" x14ac:dyDescent="0.2">
      <c r="A443" s="6" t="str">
        <f t="shared" si="85"/>
        <v>17- WA Maximum Customer Benefits&amp;2024</v>
      </c>
      <c r="B443" s="6" t="str">
        <f>'Scenario List'!$A$19</f>
        <v>17- WA Maximum Customer Benefits</v>
      </c>
      <c r="C443" s="6">
        <v>2024</v>
      </c>
      <c r="D443" s="8">
        <v>658.02308115257938</v>
      </c>
      <c r="E443" s="8">
        <v>322.03131244401999</v>
      </c>
      <c r="F443" s="8">
        <v>980.05439359659931</v>
      </c>
      <c r="G443" s="8">
        <v>418.00206795935367</v>
      </c>
      <c r="H443" s="8">
        <v>127.06562661839924</v>
      </c>
      <c r="I443" s="8">
        <v>545.06769457775295</v>
      </c>
      <c r="J443" s="12">
        <v>0.1137121136811545</v>
      </c>
      <c r="K443" s="12">
        <v>0.10391766018940336</v>
      </c>
      <c r="L443" s="8">
        <v>13.100068633337949</v>
      </c>
      <c r="M443" s="8">
        <v>7.2922196204099716</v>
      </c>
      <c r="N443" s="8">
        <v>22.190241506922717</v>
      </c>
      <c r="O443" s="8">
        <v>12.611472266100989</v>
      </c>
      <c r="P443" s="15">
        <v>2.4530038388327986</v>
      </c>
      <c r="Q443" s="15">
        <v>2.9672417086309277</v>
      </c>
      <c r="R443" s="8">
        <v>0.43188976094790404</v>
      </c>
      <c r="S443" s="8">
        <v>0</v>
      </c>
      <c r="T443" s="8">
        <v>0.22303486053778426</v>
      </c>
      <c r="U443" s="8">
        <v>0</v>
      </c>
      <c r="V443" s="8">
        <v>1.9019642839926445</v>
      </c>
      <c r="W443" s="8">
        <v>0</v>
      </c>
      <c r="X443" s="8">
        <v>5786.7456672000417</v>
      </c>
      <c r="Y443" s="8">
        <v>3486.6687128520575</v>
      </c>
    </row>
    <row r="444" spans="1:25" x14ac:dyDescent="0.2">
      <c r="A444" s="6" t="str">
        <f t="shared" si="85"/>
        <v>17- WA Maximum Customer Benefits&amp;2025</v>
      </c>
      <c r="B444" s="6" t="str">
        <f>'Scenario List'!$A$19</f>
        <v>17- WA Maximum Customer Benefits</v>
      </c>
      <c r="C444" s="6">
        <v>2025</v>
      </c>
      <c r="D444" s="8">
        <v>682.49203484749728</v>
      </c>
      <c r="E444" s="8">
        <v>329.7432381106409</v>
      </c>
      <c r="F444" s="8">
        <v>1012.2352729581382</v>
      </c>
      <c r="G444" s="8">
        <v>413.77600961427765</v>
      </c>
      <c r="H444" s="8">
        <v>127.23837176130536</v>
      </c>
      <c r="I444" s="8">
        <v>541.01438137558307</v>
      </c>
      <c r="J444" s="12">
        <v>0.11726889578255603</v>
      </c>
      <c r="K444" s="12">
        <v>0.10609763597058608</v>
      </c>
      <c r="L444" s="8">
        <v>10.28167543614178</v>
      </c>
      <c r="M444" s="8">
        <v>5.657611665257182</v>
      </c>
      <c r="N444" s="8">
        <v>17.555654779844247</v>
      </c>
      <c r="O444" s="8">
        <v>9.6027691963599864</v>
      </c>
      <c r="P444" s="15">
        <v>2.2675343916802047</v>
      </c>
      <c r="Q444" s="15">
        <v>2.7196586755011132</v>
      </c>
      <c r="R444" s="8">
        <v>1.8582031394622183</v>
      </c>
      <c r="S444" s="8">
        <v>0</v>
      </c>
      <c r="T444" s="8">
        <v>2.025708164804795</v>
      </c>
      <c r="U444" s="8">
        <v>0</v>
      </c>
      <c r="V444" s="8">
        <v>2.8148742448585309</v>
      </c>
      <c r="W444" s="8">
        <v>0</v>
      </c>
      <c r="X444" s="8">
        <v>5819.8896671884522</v>
      </c>
      <c r="Y444" s="8">
        <v>3498.9784628309185</v>
      </c>
    </row>
    <row r="445" spans="1:25" x14ac:dyDescent="0.2">
      <c r="A445" s="6" t="str">
        <f t="shared" si="85"/>
        <v>17- WA Maximum Customer Benefits&amp;2026</v>
      </c>
      <c r="B445" s="6" t="str">
        <f>'Scenario List'!$A$19</f>
        <v>17- WA Maximum Customer Benefits</v>
      </c>
      <c r="C445" s="6">
        <v>2026</v>
      </c>
      <c r="D445" s="8">
        <v>692.15232977248513</v>
      </c>
      <c r="E445" s="8">
        <v>339.83500193063821</v>
      </c>
      <c r="F445" s="8">
        <v>1031.9873317031233</v>
      </c>
      <c r="G445" s="8">
        <v>313.10159544288979</v>
      </c>
      <c r="H445" s="8">
        <v>129.42237674002587</v>
      </c>
      <c r="I445" s="8">
        <v>442.52397218291566</v>
      </c>
      <c r="J445" s="12">
        <v>0.11960790910713866</v>
      </c>
      <c r="K445" s="12">
        <v>0.11026243049636456</v>
      </c>
      <c r="L445" s="8">
        <v>13.282891941875686</v>
      </c>
      <c r="M445" s="8">
        <v>7.2097082992661896</v>
      </c>
      <c r="N445" s="8">
        <v>23.056292709518715</v>
      </c>
      <c r="O445" s="8">
        <v>12.588388318821302</v>
      </c>
      <c r="P445" s="15">
        <v>1.3575778161547449</v>
      </c>
      <c r="Q445" s="15">
        <v>1.4922093815351607</v>
      </c>
      <c r="R445" s="8">
        <v>3.5390074352691849</v>
      </c>
      <c r="S445" s="8">
        <v>0</v>
      </c>
      <c r="T445" s="8">
        <v>3.7663683304443749</v>
      </c>
      <c r="U445" s="8">
        <v>0</v>
      </c>
      <c r="V445" s="8">
        <v>3.6565924279318174</v>
      </c>
      <c r="W445" s="8">
        <v>0</v>
      </c>
      <c r="X445" s="8">
        <v>5786.8441555356549</v>
      </c>
      <c r="Y445" s="8">
        <v>3474.4151036209441</v>
      </c>
    </row>
    <row r="446" spans="1:25" x14ac:dyDescent="0.2">
      <c r="A446" s="6" t="str">
        <f t="shared" si="85"/>
        <v>17- WA Maximum Customer Benefits&amp;2027</v>
      </c>
      <c r="B446" s="6" t="str">
        <f>'Scenario List'!$A$19</f>
        <v>17- WA Maximum Customer Benefits</v>
      </c>
      <c r="C446" s="6">
        <v>2027</v>
      </c>
      <c r="D446" s="8">
        <v>712.34925149759204</v>
      </c>
      <c r="E446" s="8">
        <v>344.04245538788246</v>
      </c>
      <c r="F446" s="8">
        <v>1056.3917068854744</v>
      </c>
      <c r="G446" s="8">
        <v>311.30069504207546</v>
      </c>
      <c r="H446" s="8">
        <v>125.33433033614415</v>
      </c>
      <c r="I446" s="8">
        <v>436.63502537821961</v>
      </c>
      <c r="J446" s="12">
        <v>0.12233339542221923</v>
      </c>
      <c r="K446" s="12">
        <v>0.11085023157330776</v>
      </c>
      <c r="L446" s="8">
        <v>10.901459428188035</v>
      </c>
      <c r="M446" s="8">
        <v>6.0316726277012114</v>
      </c>
      <c r="N446" s="8">
        <v>16.012377993992061</v>
      </c>
      <c r="O446" s="8">
        <v>8.771812278928266</v>
      </c>
      <c r="P446" s="15">
        <v>1.5320514287055205</v>
      </c>
      <c r="Q446" s="15">
        <v>1.4329042999731518</v>
      </c>
      <c r="R446" s="8">
        <v>5.7614172496896447</v>
      </c>
      <c r="S446" s="8">
        <v>0</v>
      </c>
      <c r="T446" s="8">
        <v>6.062681909502234</v>
      </c>
      <c r="U446" s="8">
        <v>0</v>
      </c>
      <c r="V446" s="8">
        <v>4.7522101444492835</v>
      </c>
      <c r="W446" s="8">
        <v>0</v>
      </c>
      <c r="X446" s="8">
        <v>5823.0154492074953</v>
      </c>
      <c r="Y446" s="8">
        <v>3494.9461941505069</v>
      </c>
    </row>
    <row r="447" spans="1:25" x14ac:dyDescent="0.2">
      <c r="A447" s="6" t="str">
        <f t="shared" si="85"/>
        <v>17- WA Maximum Customer Benefits&amp;2028</v>
      </c>
      <c r="B447" s="6" t="str">
        <f>'Scenario List'!$A$19</f>
        <v>17- WA Maximum Customer Benefits</v>
      </c>
      <c r="C447" s="6">
        <v>2028</v>
      </c>
      <c r="D447" s="8">
        <v>739.61646894900684</v>
      </c>
      <c r="E447" s="8">
        <v>352.80562655655126</v>
      </c>
      <c r="F447" s="8">
        <v>1092.422095505558</v>
      </c>
      <c r="G447" s="8">
        <v>317.35621170809333</v>
      </c>
      <c r="H447" s="8">
        <v>125.45835009907779</v>
      </c>
      <c r="I447" s="8">
        <v>442.81456180717112</v>
      </c>
      <c r="J447" s="12">
        <v>0.12619812399972791</v>
      </c>
      <c r="K447" s="12">
        <v>0.11292144927226221</v>
      </c>
      <c r="L447" s="8">
        <v>13.070908208408847</v>
      </c>
      <c r="M447" s="8">
        <v>7.2948644492416728</v>
      </c>
      <c r="N447" s="8">
        <v>25.067015602168226</v>
      </c>
      <c r="O447" s="8">
        <v>14.151219728014482</v>
      </c>
      <c r="P447" s="15">
        <v>1.5728546348023844</v>
      </c>
      <c r="Q447" s="15">
        <v>1.4184150619134281</v>
      </c>
      <c r="R447" s="8">
        <v>6.8261041920447241</v>
      </c>
      <c r="S447" s="8">
        <v>0</v>
      </c>
      <c r="T447" s="8">
        <v>7.2137781297556511</v>
      </c>
      <c r="U447" s="8">
        <v>0</v>
      </c>
      <c r="V447" s="8">
        <v>6.0564897493157988</v>
      </c>
      <c r="W447" s="8">
        <v>0</v>
      </c>
      <c r="X447" s="8">
        <v>5860.7564479373841</v>
      </c>
      <c r="Y447" s="8">
        <v>3513.8988588498109</v>
      </c>
    </row>
    <row r="448" spans="1:25" x14ac:dyDescent="0.2">
      <c r="A448" s="6" t="str">
        <f t="shared" si="85"/>
        <v>17- WA Maximum Customer Benefits&amp;2029</v>
      </c>
      <c r="B448" s="6" t="str">
        <f>'Scenario List'!$A$19</f>
        <v>17- WA Maximum Customer Benefits</v>
      </c>
      <c r="C448" s="6">
        <v>2029</v>
      </c>
      <c r="D448" s="8">
        <v>765.2070676548143</v>
      </c>
      <c r="E448" s="8">
        <v>363.66491291636237</v>
      </c>
      <c r="F448" s="8">
        <v>1128.8719805711767</v>
      </c>
      <c r="G448" s="8">
        <v>319.62431864704479</v>
      </c>
      <c r="H448" s="8">
        <v>127.31837041222751</v>
      </c>
      <c r="I448" s="8">
        <v>446.94268905927231</v>
      </c>
      <c r="J448" s="12">
        <v>0.12981678256135915</v>
      </c>
      <c r="K448" s="12">
        <v>0.11553570487150171</v>
      </c>
      <c r="L448" s="8">
        <v>14.58444785091802</v>
      </c>
      <c r="M448" s="8">
        <v>8.1997380113846337</v>
      </c>
      <c r="N448" s="8">
        <v>23.655280466051892</v>
      </c>
      <c r="O448" s="8">
        <v>13.408619797734318</v>
      </c>
      <c r="P448" s="15">
        <v>1.5564834036133128</v>
      </c>
      <c r="Q448" s="15">
        <v>1.3845054987276737</v>
      </c>
      <c r="R448" s="8">
        <v>7.4104751708505194</v>
      </c>
      <c r="S448" s="8">
        <v>0</v>
      </c>
      <c r="T448" s="8">
        <v>7.9298579080013196</v>
      </c>
      <c r="U448" s="8">
        <v>0</v>
      </c>
      <c r="V448" s="8">
        <v>8.2933196655404089</v>
      </c>
      <c r="W448" s="8">
        <v>0</v>
      </c>
      <c r="X448" s="8">
        <v>5894.5157363851004</v>
      </c>
      <c r="Y448" s="8">
        <v>3535.0492932309553</v>
      </c>
    </row>
    <row r="449" spans="1:25" x14ac:dyDescent="0.2">
      <c r="A449" s="6" t="str">
        <f t="shared" si="85"/>
        <v>17- WA Maximum Customer Benefits&amp;2030</v>
      </c>
      <c r="B449" s="6" t="str">
        <f>'Scenario List'!$A$19</f>
        <v>17- WA Maximum Customer Benefits</v>
      </c>
      <c r="C449" s="6">
        <v>2030</v>
      </c>
      <c r="D449" s="8">
        <v>791.7168167529145</v>
      </c>
      <c r="E449" s="8">
        <v>375.11166349750528</v>
      </c>
      <c r="F449" s="8">
        <v>1166.8284802504197</v>
      </c>
      <c r="G449" s="8">
        <v>324.43236191952604</v>
      </c>
      <c r="H449" s="8">
        <v>129.64875437207337</v>
      </c>
      <c r="I449" s="8">
        <v>454.08111629159941</v>
      </c>
      <c r="J449" s="12">
        <v>0.13357025828705027</v>
      </c>
      <c r="K449" s="12">
        <v>0.1185888059153347</v>
      </c>
      <c r="L449" s="8">
        <v>12.339308214861196</v>
      </c>
      <c r="M449" s="8">
        <v>9.0479263895861504</v>
      </c>
      <c r="N449" s="8">
        <v>20.813878482823924</v>
      </c>
      <c r="O449" s="8">
        <v>16.424001425071268</v>
      </c>
      <c r="P449" s="15">
        <v>1.4527629602674175</v>
      </c>
      <c r="Q449" s="15">
        <v>1.4482233725931652</v>
      </c>
      <c r="R449" s="8">
        <v>22.024255981992436</v>
      </c>
      <c r="S449" s="8">
        <v>0</v>
      </c>
      <c r="T449" s="8">
        <v>31.435168891184134</v>
      </c>
      <c r="U449" s="8">
        <v>0</v>
      </c>
      <c r="V449" s="8">
        <v>670.38639615846171</v>
      </c>
      <c r="W449" s="8">
        <v>0</v>
      </c>
      <c r="X449" s="8">
        <v>5927.3436085709209</v>
      </c>
      <c r="Y449" s="8">
        <v>3554.3904055481203</v>
      </c>
    </row>
    <row r="450" spans="1:25" x14ac:dyDescent="0.2">
      <c r="A450" s="6" t="str">
        <f t="shared" si="85"/>
        <v>17- WA Maximum Customer Benefits&amp;2031</v>
      </c>
      <c r="B450" s="6" t="str">
        <f>'Scenario List'!$A$19</f>
        <v>17- WA Maximum Customer Benefits</v>
      </c>
      <c r="C450" s="6">
        <v>2031</v>
      </c>
      <c r="D450" s="8">
        <v>827.0940511926658</v>
      </c>
      <c r="E450" s="8">
        <v>389.31435334954904</v>
      </c>
      <c r="F450" s="8">
        <v>1216.4084045422148</v>
      </c>
      <c r="G450" s="8">
        <v>326.29514925700289</v>
      </c>
      <c r="H450" s="8">
        <v>134.2396967883524</v>
      </c>
      <c r="I450" s="8">
        <v>460.53484604535527</v>
      </c>
      <c r="J450" s="12">
        <v>0.13851046670352049</v>
      </c>
      <c r="K450" s="12">
        <v>0.12217374511436382</v>
      </c>
      <c r="L450" s="8">
        <v>11.059016325734513</v>
      </c>
      <c r="M450" s="8">
        <v>8.2795011719995486</v>
      </c>
      <c r="N450" s="8">
        <v>20.154300240224444</v>
      </c>
      <c r="O450" s="8">
        <v>14.313757662074352</v>
      </c>
      <c r="P450" s="15">
        <v>1.3672898925016514</v>
      </c>
      <c r="Q450" s="15">
        <v>1.3178533229172604</v>
      </c>
      <c r="R450" s="8">
        <v>21.719348697532414</v>
      </c>
      <c r="S450" s="8">
        <v>0</v>
      </c>
      <c r="T450" s="8">
        <v>31.206753698517275</v>
      </c>
      <c r="U450" s="8">
        <v>0</v>
      </c>
      <c r="V450" s="8">
        <v>672.34257510809812</v>
      </c>
      <c r="W450" s="8">
        <v>0</v>
      </c>
      <c r="X450" s="8">
        <v>5971.3469377231095</v>
      </c>
      <c r="Y450" s="8">
        <v>3577.7932716341829</v>
      </c>
    </row>
    <row r="451" spans="1:25" x14ac:dyDescent="0.2">
      <c r="A451" s="6" t="str">
        <f t="shared" si="85"/>
        <v>17- WA Maximum Customer Benefits&amp;2032</v>
      </c>
      <c r="B451" s="6" t="str">
        <f>'Scenario List'!$A$19</f>
        <v>17- WA Maximum Customer Benefits</v>
      </c>
      <c r="C451" s="6">
        <v>2032</v>
      </c>
      <c r="D451" s="8">
        <v>863.02959118670901</v>
      </c>
      <c r="E451" s="8">
        <v>401.08410698096145</v>
      </c>
      <c r="F451" s="8">
        <v>1264.1136981676705</v>
      </c>
      <c r="G451" s="8">
        <v>332.75283007822702</v>
      </c>
      <c r="H451" s="8">
        <v>136.10079821592842</v>
      </c>
      <c r="I451" s="8">
        <v>468.85362829415544</v>
      </c>
      <c r="J451" s="12">
        <v>0.14335976793395797</v>
      </c>
      <c r="K451" s="12">
        <v>0.12496096567902935</v>
      </c>
      <c r="L451" s="8">
        <v>11.392008113139566</v>
      </c>
      <c r="M451" s="8">
        <v>9.0151975925593799</v>
      </c>
      <c r="N451" s="8">
        <v>21.546909721999896</v>
      </c>
      <c r="O451" s="8">
        <v>17.769721037674344</v>
      </c>
      <c r="P451" s="15">
        <v>1.2757930245055356</v>
      </c>
      <c r="Q451" s="15">
        <v>1.2400831169937785</v>
      </c>
      <c r="R451" s="8">
        <v>40.644660699146677</v>
      </c>
      <c r="S451" s="8">
        <v>0</v>
      </c>
      <c r="T451" s="8">
        <v>50.223529480980673</v>
      </c>
      <c r="U451" s="8">
        <v>0</v>
      </c>
      <c r="V451" s="8">
        <v>832.93698219836472</v>
      </c>
      <c r="W451" s="8">
        <v>0</v>
      </c>
      <c r="X451" s="8">
        <v>6020.0264245983144</v>
      </c>
      <c r="Y451" s="8">
        <v>3601.6180025404592</v>
      </c>
    </row>
    <row r="452" spans="1:25" x14ac:dyDescent="0.2">
      <c r="A452" s="6" t="str">
        <f t="shared" si="85"/>
        <v>17- WA Maximum Customer Benefits&amp;2033</v>
      </c>
      <c r="B452" s="6" t="str">
        <f>'Scenario List'!$A$19</f>
        <v>17- WA Maximum Customer Benefits</v>
      </c>
      <c r="C452" s="6">
        <v>2033</v>
      </c>
      <c r="D452" s="8">
        <v>890.61081401700801</v>
      </c>
      <c r="E452" s="8">
        <v>411.66824729003656</v>
      </c>
      <c r="F452" s="8">
        <v>1302.2790613070447</v>
      </c>
      <c r="G452" s="8">
        <v>334.02676673697738</v>
      </c>
      <c r="H452" s="8">
        <v>136.35676418092777</v>
      </c>
      <c r="I452" s="8">
        <v>470.38353091790515</v>
      </c>
      <c r="J452" s="12">
        <v>0.1468628749561437</v>
      </c>
      <c r="K452" s="12">
        <v>0.12716739688184894</v>
      </c>
      <c r="L452" s="8">
        <v>11.427298528375697</v>
      </c>
      <c r="M452" s="8">
        <v>8.9414020621089847</v>
      </c>
      <c r="N452" s="8">
        <v>19.031701016853305</v>
      </c>
      <c r="O452" s="8">
        <v>15.985901113270799</v>
      </c>
      <c r="P452" s="15">
        <v>1.1874825699679257</v>
      </c>
      <c r="Q452" s="15">
        <v>1.2104176768359198</v>
      </c>
      <c r="R452" s="8">
        <v>40.651679734044777</v>
      </c>
      <c r="S452" s="8">
        <v>0</v>
      </c>
      <c r="T452" s="8">
        <v>50.342652185843477</v>
      </c>
      <c r="U452" s="8">
        <v>0</v>
      </c>
      <c r="V452" s="8">
        <v>834.2087675938526</v>
      </c>
      <c r="W452" s="8">
        <v>0</v>
      </c>
      <c r="X452" s="8">
        <v>6064.2338254849146</v>
      </c>
      <c r="Y452" s="8">
        <v>3627.6256202502514</v>
      </c>
    </row>
    <row r="453" spans="1:25" x14ac:dyDescent="0.2">
      <c r="A453" s="6" t="str">
        <f t="shared" si="85"/>
        <v>17- WA Maximum Customer Benefits&amp;2034</v>
      </c>
      <c r="B453" s="6" t="str">
        <f>'Scenario List'!$A$19</f>
        <v>17- WA Maximum Customer Benefits</v>
      </c>
      <c r="C453" s="6">
        <v>2034</v>
      </c>
      <c r="D453" s="8">
        <v>918.14098800887155</v>
      </c>
      <c r="E453" s="8">
        <v>424.89917598651743</v>
      </c>
      <c r="F453" s="8">
        <v>1343.0401639953889</v>
      </c>
      <c r="G453" s="8">
        <v>334.97507761710744</v>
      </c>
      <c r="H453" s="8">
        <v>138.69388658786272</v>
      </c>
      <c r="I453" s="8">
        <v>473.66896420497017</v>
      </c>
      <c r="J453" s="12">
        <v>0.1501883503429271</v>
      </c>
      <c r="K453" s="12">
        <v>0.13013789156737277</v>
      </c>
      <c r="L453" s="8">
        <v>12.319871816898813</v>
      </c>
      <c r="M453" s="8">
        <v>10.410671579105111</v>
      </c>
      <c r="N453" s="8">
        <v>22.33621036048379</v>
      </c>
      <c r="O453" s="8">
        <v>18.69832292449712</v>
      </c>
      <c r="P453" s="15">
        <v>1.3610032065905111</v>
      </c>
      <c r="Q453" s="15">
        <v>1.2890245903431199</v>
      </c>
      <c r="R453" s="8">
        <v>41.203427155112465</v>
      </c>
      <c r="S453" s="8">
        <v>88.620796747509246</v>
      </c>
      <c r="T453" s="8">
        <v>56.839495475812711</v>
      </c>
      <c r="U453" s="8">
        <v>83.593377839229134</v>
      </c>
      <c r="V453" s="8">
        <v>956.17444786863723</v>
      </c>
      <c r="W453" s="8">
        <v>196.9717256285989</v>
      </c>
      <c r="X453" s="8">
        <v>6113.2636846497599</v>
      </c>
      <c r="Y453" s="8">
        <v>3654.4626936229915</v>
      </c>
    </row>
    <row r="454" spans="1:25" x14ac:dyDescent="0.2">
      <c r="A454" s="6" t="str">
        <f t="shared" si="85"/>
        <v>17- WA Maximum Customer Benefits&amp;2035</v>
      </c>
      <c r="B454" s="6" t="str">
        <f>'Scenario List'!$A$19</f>
        <v>17- WA Maximum Customer Benefits</v>
      </c>
      <c r="C454" s="6">
        <v>2035</v>
      </c>
      <c r="D454" s="8">
        <v>956.5894759760497</v>
      </c>
      <c r="E454" s="8">
        <v>439.72978086726022</v>
      </c>
      <c r="F454" s="8">
        <v>1396.3192568433099</v>
      </c>
      <c r="G454" s="8">
        <v>349.24928270260676</v>
      </c>
      <c r="H454" s="8">
        <v>142.51452070620874</v>
      </c>
      <c r="I454" s="8">
        <v>491.76380340881553</v>
      </c>
      <c r="J454" s="12">
        <v>0.15518213762892386</v>
      </c>
      <c r="K454" s="12">
        <v>0.13360893343299535</v>
      </c>
      <c r="L454" s="8">
        <v>13.516124909754465</v>
      </c>
      <c r="M454" s="8">
        <v>11.190016467872324</v>
      </c>
      <c r="N454" s="8">
        <v>24.837511566305182</v>
      </c>
      <c r="O454" s="8">
        <v>21.462879795642394</v>
      </c>
      <c r="P454" s="15">
        <v>1.2717513472393229</v>
      </c>
      <c r="Q454" s="15">
        <v>1.2996681954892191</v>
      </c>
      <c r="R454" s="8">
        <v>44.064771487258454</v>
      </c>
      <c r="S454" s="8">
        <v>90.368712404015696</v>
      </c>
      <c r="T454" s="8">
        <v>60.586861227444651</v>
      </c>
      <c r="U454" s="8">
        <v>85.242135007614138</v>
      </c>
      <c r="V454" s="8">
        <v>997.42157122531307</v>
      </c>
      <c r="W454" s="8">
        <v>203.12028826721678</v>
      </c>
      <c r="X454" s="8">
        <v>6164.3014498451803</v>
      </c>
      <c r="Y454" s="8">
        <v>3682.5030690905514</v>
      </c>
    </row>
    <row r="455" spans="1:25" x14ac:dyDescent="0.2">
      <c r="A455" s="6" t="str">
        <f t="shared" si="85"/>
        <v>17- WA Maximum Customer Benefits&amp;2036</v>
      </c>
      <c r="B455" s="6" t="str">
        <f>'Scenario List'!$A$19</f>
        <v>17- WA Maximum Customer Benefits</v>
      </c>
      <c r="C455" s="6">
        <v>2036</v>
      </c>
      <c r="D455" s="8">
        <v>1006.7139028300993</v>
      </c>
      <c r="E455" s="8">
        <v>452.81092699522901</v>
      </c>
      <c r="F455" s="8">
        <v>1459.5248298253282</v>
      </c>
      <c r="G455" s="8">
        <v>371.3847423422929</v>
      </c>
      <c r="H455" s="8">
        <v>144.04329805850776</v>
      </c>
      <c r="I455" s="8">
        <v>515.42804040080068</v>
      </c>
      <c r="J455" s="12">
        <v>0.16183414379379021</v>
      </c>
      <c r="K455" s="12">
        <v>0.13641734442317127</v>
      </c>
      <c r="L455" s="8">
        <v>13.384196347205151</v>
      </c>
      <c r="M455" s="8">
        <v>11.426612773761896</v>
      </c>
      <c r="N455" s="8">
        <v>23.659560347811365</v>
      </c>
      <c r="O455" s="8">
        <v>20.149933320156507</v>
      </c>
      <c r="P455" s="15">
        <v>1.3145596774363852</v>
      </c>
      <c r="Q455" s="15">
        <v>1.2782325903410632</v>
      </c>
      <c r="R455" s="8">
        <v>104.23267630598298</v>
      </c>
      <c r="S455" s="8">
        <v>90.368712404015696</v>
      </c>
      <c r="T455" s="8">
        <v>122.13851166816376</v>
      </c>
      <c r="U455" s="8">
        <v>85.256142049680818</v>
      </c>
      <c r="V455" s="8">
        <v>749.86036407147856</v>
      </c>
      <c r="W455" s="8">
        <v>209.09616205808135</v>
      </c>
      <c r="X455" s="8">
        <v>6220.6520776781117</v>
      </c>
      <c r="Y455" s="8">
        <v>3711.5206969475803</v>
      </c>
    </row>
    <row r="456" spans="1:25" x14ac:dyDescent="0.2">
      <c r="A456" s="6" t="str">
        <f t="shared" si="85"/>
        <v>17- WA Maximum Customer Benefits&amp;2037</v>
      </c>
      <c r="B456" s="6" t="str">
        <f>'Scenario List'!$A$19</f>
        <v>17- WA Maximum Customer Benefits</v>
      </c>
      <c r="C456" s="6">
        <v>2037</v>
      </c>
      <c r="D456" s="8">
        <v>1060.2704369760054</v>
      </c>
      <c r="E456" s="8">
        <v>467.39312973751021</v>
      </c>
      <c r="F456" s="8">
        <v>1527.6635667135156</v>
      </c>
      <c r="G456" s="8">
        <v>397.15397074188223</v>
      </c>
      <c r="H456" s="8">
        <v>146.68875003319144</v>
      </c>
      <c r="I456" s="8">
        <v>543.84272077507364</v>
      </c>
      <c r="J456" s="12">
        <v>0.16900922788488107</v>
      </c>
      <c r="K456" s="12">
        <v>0.13947106348454652</v>
      </c>
      <c r="L456" s="8">
        <v>14.742939636090675</v>
      </c>
      <c r="M456" s="8">
        <v>12.390697592839201</v>
      </c>
      <c r="N456" s="8">
        <v>24.369008294073083</v>
      </c>
      <c r="O456" s="8">
        <v>21.819251827359096</v>
      </c>
      <c r="P456" s="15">
        <v>1.3171165459125154</v>
      </c>
      <c r="Q456" s="15">
        <v>1.2469958979417883</v>
      </c>
      <c r="R456" s="8">
        <v>153.07151699167449</v>
      </c>
      <c r="S456" s="8">
        <v>90.368712404015696</v>
      </c>
      <c r="T456" s="8">
        <v>172.7450935914955</v>
      </c>
      <c r="U456" s="8">
        <v>85.242135007614138</v>
      </c>
      <c r="V456" s="8">
        <v>549.82906384814316</v>
      </c>
      <c r="W456" s="8">
        <v>200.95728507272989</v>
      </c>
      <c r="X456" s="8">
        <v>6273.4470196988177</v>
      </c>
      <c r="Y456" s="8">
        <v>3742.8954632988293</v>
      </c>
    </row>
    <row r="457" spans="1:25" x14ac:dyDescent="0.2">
      <c r="A457" s="6" t="str">
        <f t="shared" si="85"/>
        <v>17- WA Maximum Customer Benefits&amp;2038</v>
      </c>
      <c r="B457" s="6" t="str">
        <f>'Scenario List'!$A$19</f>
        <v>17- WA Maximum Customer Benefits</v>
      </c>
      <c r="C457" s="6">
        <v>2038</v>
      </c>
      <c r="D457" s="8">
        <v>1097.4775495832027</v>
      </c>
      <c r="E457" s="8">
        <v>484.11976135955922</v>
      </c>
      <c r="F457" s="8">
        <v>1581.5973109427619</v>
      </c>
      <c r="G457" s="8">
        <v>402.55256130683989</v>
      </c>
      <c r="H457" s="8">
        <v>150.72671624263603</v>
      </c>
      <c r="I457" s="8">
        <v>553.27927754947586</v>
      </c>
      <c r="J457" s="12">
        <v>0.17331426437918659</v>
      </c>
      <c r="K457" s="12">
        <v>0.14304487093158025</v>
      </c>
      <c r="L457" s="8">
        <v>17.165570358480604</v>
      </c>
      <c r="M457" s="8">
        <v>14.357081706332131</v>
      </c>
      <c r="N457" s="8">
        <v>32.47618495190855</v>
      </c>
      <c r="O457" s="8">
        <v>26.251047613853515</v>
      </c>
      <c r="P457" s="15">
        <v>1.4083729239654097</v>
      </c>
      <c r="Q457" s="15">
        <v>1.1972688759356056</v>
      </c>
      <c r="R457" s="8">
        <v>152.99439549135323</v>
      </c>
      <c r="S457" s="8">
        <v>90.368712404015696</v>
      </c>
      <c r="T457" s="8">
        <v>174.69533258207267</v>
      </c>
      <c r="U457" s="8">
        <v>85.242135007614138</v>
      </c>
      <c r="V457" s="8">
        <v>578.87267866739307</v>
      </c>
      <c r="W457" s="8">
        <v>202.02280838289684</v>
      </c>
      <c r="X457" s="8">
        <v>6332.2978839299703</v>
      </c>
      <c r="Y457" s="8">
        <v>3775.5617904836431</v>
      </c>
    </row>
    <row r="458" spans="1:25" x14ac:dyDescent="0.2">
      <c r="A458" s="6" t="str">
        <f t="shared" si="85"/>
        <v>17- WA Maximum Customer Benefits&amp;2039</v>
      </c>
      <c r="B458" s="6" t="str">
        <f>'Scenario List'!$A$19</f>
        <v>17- WA Maximum Customer Benefits</v>
      </c>
      <c r="C458" s="6">
        <v>2039</v>
      </c>
      <c r="D458" s="8">
        <v>1164.0505469628381</v>
      </c>
      <c r="E458" s="8">
        <v>505.03267024494698</v>
      </c>
      <c r="F458" s="8">
        <v>1669.0832172077851</v>
      </c>
      <c r="G458" s="8">
        <v>439.81348860674996</v>
      </c>
      <c r="H458" s="8">
        <v>158.79959240129529</v>
      </c>
      <c r="I458" s="8">
        <v>598.61308100804524</v>
      </c>
      <c r="J458" s="12">
        <v>0.18203651776860397</v>
      </c>
      <c r="K458" s="12">
        <v>0.14775116925247336</v>
      </c>
      <c r="L458" s="8">
        <v>15.928010304139349</v>
      </c>
      <c r="M458" s="8">
        <v>14.201731341191453</v>
      </c>
      <c r="N458" s="8">
        <v>31.724902796767594</v>
      </c>
      <c r="O458" s="8">
        <v>25.813952774668806</v>
      </c>
      <c r="P458" s="15">
        <v>1.3942576896114098</v>
      </c>
      <c r="Q458" s="15">
        <v>1.1831586604641031</v>
      </c>
      <c r="R458" s="8">
        <v>202.00105523003728</v>
      </c>
      <c r="S458" s="8">
        <v>90.368712404015696</v>
      </c>
      <c r="T458" s="8">
        <v>226.03203698928627</v>
      </c>
      <c r="U458" s="8">
        <v>85.242135007614138</v>
      </c>
      <c r="V458" s="8">
        <v>373.95640643536007</v>
      </c>
      <c r="W458" s="8">
        <v>200.83087031882405</v>
      </c>
      <c r="X458" s="8">
        <v>6394.5990685370225</v>
      </c>
      <c r="Y458" s="8">
        <v>3809.8721251664078</v>
      </c>
    </row>
    <row r="459" spans="1:25" x14ac:dyDescent="0.2">
      <c r="A459" s="6" t="str">
        <f t="shared" si="85"/>
        <v>17- WA Maximum Customer Benefits&amp;2040</v>
      </c>
      <c r="B459" s="6" t="str">
        <f>'Scenario List'!$A$19</f>
        <v>17- WA Maximum Customer Benefits</v>
      </c>
      <c r="C459" s="6">
        <v>2040</v>
      </c>
      <c r="D459" s="8">
        <v>1202.7471275914281</v>
      </c>
      <c r="E459" s="8">
        <v>519.23260888269056</v>
      </c>
      <c r="F459" s="8">
        <v>1721.9797364741187</v>
      </c>
      <c r="G459" s="8">
        <v>448.15505664184781</v>
      </c>
      <c r="H459" s="8">
        <v>159.59024555534302</v>
      </c>
      <c r="I459" s="8">
        <v>607.74530219719077</v>
      </c>
      <c r="J459" s="12">
        <v>0.18606720571198881</v>
      </c>
      <c r="K459" s="12">
        <v>0.15037043430273583</v>
      </c>
      <c r="L459" s="8">
        <v>18.157488963679352</v>
      </c>
      <c r="M459" s="8">
        <v>15.781473584046148</v>
      </c>
      <c r="N459" s="8">
        <v>36.517782838346506</v>
      </c>
      <c r="O459" s="8">
        <v>32.422571711922402</v>
      </c>
      <c r="P459" s="15">
        <v>1.4042561008902203</v>
      </c>
      <c r="Q459" s="15">
        <v>1.168285980837408</v>
      </c>
      <c r="R459" s="8">
        <v>202.10757304546593</v>
      </c>
      <c r="S459" s="8">
        <v>90.368712404015696</v>
      </c>
      <c r="T459" s="8">
        <v>228.795111634736</v>
      </c>
      <c r="U459" s="8">
        <v>85.256142049680818</v>
      </c>
      <c r="V459" s="8">
        <v>412.48428850768221</v>
      </c>
      <c r="W459" s="8">
        <v>208.51115191189021</v>
      </c>
      <c r="X459" s="8">
        <v>6464.0468103398398</v>
      </c>
      <c r="Y459" s="8">
        <v>3846.0911975378558</v>
      </c>
    </row>
    <row r="460" spans="1:25" x14ac:dyDescent="0.2">
      <c r="A460" s="6" t="str">
        <f t="shared" si="85"/>
        <v>17- WA Maximum Customer Benefits&amp;2041</v>
      </c>
      <c r="B460" s="6" t="str">
        <f>'Scenario List'!$A$19</f>
        <v>17- WA Maximum Customer Benefits</v>
      </c>
      <c r="C460" s="6">
        <v>2041</v>
      </c>
      <c r="D460" s="8">
        <v>1255.6423870432232</v>
      </c>
      <c r="E460" s="8">
        <v>532.89507713172111</v>
      </c>
      <c r="F460" s="8">
        <v>1788.5374641749443</v>
      </c>
      <c r="G460" s="8">
        <v>465.29242852551192</v>
      </c>
      <c r="H460" s="8">
        <v>159.1527891385366</v>
      </c>
      <c r="I460" s="8">
        <v>624.44521766404853</v>
      </c>
      <c r="J460" s="12">
        <v>0.19223710363028521</v>
      </c>
      <c r="K460" s="12">
        <v>0.15254412042689433</v>
      </c>
      <c r="L460" s="8">
        <v>16.145226047464767</v>
      </c>
      <c r="M460" s="8">
        <v>16.271310342880923</v>
      </c>
      <c r="N460" s="8">
        <v>28.133168348676804</v>
      </c>
      <c r="O460" s="8">
        <v>27.354614503449966</v>
      </c>
      <c r="P460" s="15">
        <v>1.5587222549658268</v>
      </c>
      <c r="Q460" s="15">
        <v>1.2369707025549466</v>
      </c>
      <c r="R460" s="8">
        <v>273.32292158517919</v>
      </c>
      <c r="S460" s="8">
        <v>178.98950915152457</v>
      </c>
      <c r="T460" s="8">
        <v>304.96626209456997</v>
      </c>
      <c r="U460" s="8">
        <v>168.8355128468429</v>
      </c>
      <c r="V460" s="8">
        <v>620.11841468907221</v>
      </c>
      <c r="W460" s="8">
        <v>410.05758456711851</v>
      </c>
      <c r="X460" s="8">
        <v>6531.7379596922319</v>
      </c>
      <c r="Y460" s="8">
        <v>3885.3213718222555</v>
      </c>
    </row>
    <row r="461" spans="1:25" x14ac:dyDescent="0.2">
      <c r="A461" s="6" t="str">
        <f t="shared" si="85"/>
        <v>17- WA Maximum Customer Benefits&amp;2042</v>
      </c>
      <c r="B461" s="6" t="str">
        <f>'Scenario List'!$A$19</f>
        <v>17- WA Maximum Customer Benefits</v>
      </c>
      <c r="C461" s="6">
        <v>2042</v>
      </c>
      <c r="D461" s="8">
        <v>1363.8068414984696</v>
      </c>
      <c r="E461" s="8">
        <v>562.79148176827653</v>
      </c>
      <c r="F461" s="8">
        <v>1926.5983232667461</v>
      </c>
      <c r="G461" s="8">
        <v>495.22080041192908</v>
      </c>
      <c r="H461" s="8">
        <v>174.41182613779267</v>
      </c>
      <c r="I461" s="8">
        <v>669.63262654972175</v>
      </c>
      <c r="J461" s="12">
        <v>0.20639830216007871</v>
      </c>
      <c r="K461" s="12">
        <v>0.15919229986007474</v>
      </c>
      <c r="L461" s="8">
        <v>19.704089643185046</v>
      </c>
      <c r="M461" s="8">
        <v>21.845182823840418</v>
      </c>
      <c r="N461" s="8">
        <v>33.868242702253774</v>
      </c>
      <c r="O461" s="8">
        <v>40.804565554791566</v>
      </c>
      <c r="P461" s="15">
        <v>1.5797909821531506</v>
      </c>
      <c r="Q461" s="15">
        <v>0.97887707699775528</v>
      </c>
      <c r="R461" s="8">
        <v>480.99915566443002</v>
      </c>
      <c r="S461" s="8">
        <v>267.61030589903299</v>
      </c>
      <c r="T461" s="8">
        <v>519.0675833543437</v>
      </c>
      <c r="U461" s="8">
        <v>252.42889068607124</v>
      </c>
      <c r="V461" s="8">
        <v>43.328618201702135</v>
      </c>
      <c r="W461" s="8">
        <v>622.40971888801164</v>
      </c>
      <c r="X461" s="8">
        <v>6607.6456406154266</v>
      </c>
      <c r="Y461" s="8">
        <v>3926.8621885341022</v>
      </c>
    </row>
    <row r="462" spans="1:25" x14ac:dyDescent="0.2">
      <c r="A462" s="6" t="str">
        <f t="shared" si="85"/>
        <v>17- WA Maximum Customer Benefits&amp;2043</v>
      </c>
      <c r="B462" s="6" t="str">
        <f>'Scenario List'!$A$19</f>
        <v>17- WA Maximum Customer Benefits</v>
      </c>
      <c r="C462" s="6">
        <v>2043</v>
      </c>
      <c r="D462" s="8">
        <v>1471.2898236116941</v>
      </c>
      <c r="E462" s="8">
        <v>586.46022226691468</v>
      </c>
      <c r="F462" s="8">
        <v>2057.7500458786089</v>
      </c>
      <c r="G462" s="8">
        <v>567.09709605870603</v>
      </c>
      <c r="H462" s="8">
        <v>183.03799256675524</v>
      </c>
      <c r="I462" s="8">
        <v>750.13508862546132</v>
      </c>
      <c r="J462" s="12">
        <v>0.21994252299243022</v>
      </c>
      <c r="K462" s="12">
        <v>0.16383674088291281</v>
      </c>
      <c r="L462" s="8">
        <v>18.268438472539298</v>
      </c>
      <c r="M462" s="8">
        <v>22.291053241297284</v>
      </c>
      <c r="N462" s="8">
        <v>31.310973224230068</v>
      </c>
      <c r="O462" s="8">
        <v>43.884167406983096</v>
      </c>
      <c r="P462" s="15">
        <v>1.5545920750464257</v>
      </c>
      <c r="Q462" s="15">
        <v>0.98453114404938913</v>
      </c>
      <c r="R462" s="8">
        <v>536.32538424458494</v>
      </c>
      <c r="S462" s="8">
        <v>267.61030589903299</v>
      </c>
      <c r="T462" s="8">
        <v>586.57481998692333</v>
      </c>
      <c r="U462" s="8">
        <v>252.42889068607124</v>
      </c>
      <c r="V462" s="8">
        <v>443.15585420404511</v>
      </c>
      <c r="W462" s="8">
        <v>634.36895101232108</v>
      </c>
      <c r="X462" s="8">
        <v>6689.4286907053965</v>
      </c>
      <c r="Y462" s="8">
        <v>3971.163645667215</v>
      </c>
    </row>
    <row r="463" spans="1:25" x14ac:dyDescent="0.2">
      <c r="A463" s="6" t="str">
        <f t="shared" si="85"/>
        <v>17- WA Maximum Customer Benefits&amp;2044</v>
      </c>
      <c r="B463" s="6" t="str">
        <f>'Scenario List'!$A$19</f>
        <v>17- WA Maximum Customer Benefits</v>
      </c>
      <c r="C463" s="6">
        <v>2044</v>
      </c>
      <c r="D463" s="8">
        <v>1542.5607051226773</v>
      </c>
      <c r="E463" s="8">
        <v>613.28101693190536</v>
      </c>
      <c r="F463" s="8">
        <v>2155.8417220545825</v>
      </c>
      <c r="G463" s="8">
        <v>611.91057018505444</v>
      </c>
      <c r="H463" s="8">
        <v>194.27958594453077</v>
      </c>
      <c r="I463" s="8">
        <v>806.19015612958515</v>
      </c>
      <c r="J463" s="12">
        <v>0.22748425346248036</v>
      </c>
      <c r="K463" s="12">
        <v>0.16912579021063212</v>
      </c>
      <c r="L463" s="8">
        <v>22.213089213627509</v>
      </c>
      <c r="M463" s="8">
        <v>26.48499441977107</v>
      </c>
      <c r="N463" s="8">
        <v>36.837052062562293</v>
      </c>
      <c r="O463" s="8">
        <v>45.348659654968955</v>
      </c>
      <c r="P463" s="15">
        <v>1.6451328604718549</v>
      </c>
      <c r="Q463" s="15">
        <v>1.0893623405970163</v>
      </c>
      <c r="R463" s="8">
        <v>568.84694691402615</v>
      </c>
      <c r="S463" s="8">
        <v>285.05430589903301</v>
      </c>
      <c r="T463" s="8">
        <v>623.86363332779911</v>
      </c>
      <c r="U463" s="8">
        <v>269.9143699626095</v>
      </c>
      <c r="V463" s="8">
        <v>533.03525094353643</v>
      </c>
      <c r="W463" s="8">
        <v>633.49175627252316</v>
      </c>
      <c r="X463" s="8">
        <v>6780.9559635172564</v>
      </c>
      <c r="Y463" s="8">
        <v>4019.1726644979981</v>
      </c>
    </row>
    <row r="464" spans="1:25" x14ac:dyDescent="0.2">
      <c r="A464" s="6" t="str">
        <f t="shared" si="85"/>
        <v>17- WA Maximum Customer Benefits&amp;2045</v>
      </c>
      <c r="B464" s="6" t="str">
        <f>'Scenario List'!$A$19</f>
        <v>17- WA Maximum Customer Benefits</v>
      </c>
      <c r="C464" s="6">
        <v>2045</v>
      </c>
      <c r="D464" s="8">
        <v>2077.8525612836738</v>
      </c>
      <c r="E464" s="8">
        <v>668.65416482310434</v>
      </c>
      <c r="F464" s="8">
        <v>2746.5067261067779</v>
      </c>
      <c r="G464" s="8">
        <v>1020.7665294414949</v>
      </c>
      <c r="H464" s="8">
        <v>233.19875638678269</v>
      </c>
      <c r="I464" s="8">
        <v>1253.9652858282775</v>
      </c>
      <c r="J464" s="12">
        <v>0.30228617105748995</v>
      </c>
      <c r="K464" s="12">
        <v>0.18170689885797672</v>
      </c>
      <c r="L464" s="8">
        <v>26.933909627697176</v>
      </c>
      <c r="M464" s="8">
        <v>23.926609039872186</v>
      </c>
      <c r="N464" s="8">
        <v>42.539767444835661</v>
      </c>
      <c r="O464" s="8">
        <v>46.331079864571763</v>
      </c>
      <c r="P464" s="15">
        <v>0.96960364779071595</v>
      </c>
      <c r="Q464" s="15">
        <v>0.53314988980288502</v>
      </c>
      <c r="R464" s="8">
        <v>912.01201897853707</v>
      </c>
      <c r="S464" s="8">
        <v>349.21305247668624</v>
      </c>
      <c r="T464" s="8">
        <v>977.87465588683301</v>
      </c>
      <c r="U464" s="8">
        <v>334.13079575184588</v>
      </c>
      <c r="V464" s="8">
        <v>2032.8626142523945</v>
      </c>
      <c r="W464" s="8">
        <v>261.35645946452291</v>
      </c>
      <c r="X464" s="8">
        <v>6873.7929823739769</v>
      </c>
      <c r="Y464" s="8">
        <v>4071.6405357987101</v>
      </c>
    </row>
    <row r="465" spans="1:25" x14ac:dyDescent="0.2">
      <c r="A465" s="6" t="str">
        <f t="shared" si="85"/>
        <v>17- WA Maximum Customer Benefits&amp;NPV</v>
      </c>
      <c r="B465" s="6" t="str">
        <f>'Scenario List'!$A$19</f>
        <v>17- WA Maximum Customer Benefits</v>
      </c>
      <c r="C465" s="3" t="s">
        <v>6</v>
      </c>
      <c r="D465" s="16">
        <f t="shared" ref="D465:E465" si="86">NPV($B$1,D441:D464)</f>
        <v>10551.278308611702</v>
      </c>
      <c r="E465" s="16">
        <f t="shared" si="86"/>
        <v>4774.7875462442089</v>
      </c>
      <c r="F465" s="16">
        <f>NPV($B$1,F441:F464)</f>
        <v>15326.065854855904</v>
      </c>
      <c r="G465" s="16">
        <f t="shared" ref="G465:I465" si="87">NPV($B$1,G441:G464)</f>
        <v>4598.4735062924556</v>
      </c>
      <c r="H465" s="16">
        <f t="shared" si="87"/>
        <v>1644.4552172736837</v>
      </c>
      <c r="I465" s="16">
        <f t="shared" si="87"/>
        <v>6242.9287235661359</v>
      </c>
      <c r="L465" s="52">
        <f t="shared" ref="L465:M465" si="88">NPV($B$1,L441:L464)</f>
        <v>165.6385417265127</v>
      </c>
      <c r="M465" s="52">
        <f t="shared" si="88"/>
        <v>123.43163413910814</v>
      </c>
      <c r="N465" s="52">
        <f>NPV($B$1,N441:N464)</f>
        <v>287.73350638061578</v>
      </c>
      <c r="O465" s="52">
        <f t="shared" ref="O465:Q465" si="89">NPV($B$1,O441:O464)</f>
        <v>221.3469119749885</v>
      </c>
      <c r="P465" s="52">
        <f t="shared" si="89"/>
        <v>19.233266115519676</v>
      </c>
      <c r="Q465" s="52">
        <f t="shared" si="89"/>
        <v>19.238902630990413</v>
      </c>
      <c r="X465" s="52">
        <f>-PMT($B$1,22,NPV($B$1,X443:X464))</f>
        <v>6076.8555845070096</v>
      </c>
      <c r="Y465" s="52">
        <f>-PMT($B$1,22,NPV($B$1,Y443:Y464))</f>
        <v>3635.7721906378856</v>
      </c>
    </row>
    <row r="466" spans="1:25" x14ac:dyDescent="0.2">
      <c r="A466" s="6" t="str">
        <f t="shared" si="85"/>
        <v>17- WA Maximum Customer Benefits&amp;Levelized</v>
      </c>
      <c r="B466" s="6" t="str">
        <f>'Scenario List'!$A$19</f>
        <v>17- WA Maximum Customer Benefits</v>
      </c>
      <c r="C466" s="3" t="s">
        <v>7</v>
      </c>
      <c r="D466" s="16">
        <f t="shared" ref="D466:I466" si="90">-PMT($B$1,COUNT(D441:D464),D465)</f>
        <v>897.22961373363535</v>
      </c>
      <c r="E466" s="16">
        <f t="shared" si="90"/>
        <v>406.02481144680826</v>
      </c>
      <c r="F466" s="16">
        <f t="shared" si="90"/>
        <v>1303.2544251804429</v>
      </c>
      <c r="G466" s="16">
        <f t="shared" si="90"/>
        <v>391.03191927443385</v>
      </c>
      <c r="H466" s="16">
        <f t="shared" si="90"/>
        <v>139.83650854821056</v>
      </c>
      <c r="I466" s="16">
        <f t="shared" si="90"/>
        <v>530.86842782264409</v>
      </c>
      <c r="L466" s="52">
        <f t="shared" ref="L466:Q466" si="91">-PMT($B$1,COUNT(L441:L464),L465)</f>
        <v>14.085099498454605</v>
      </c>
      <c r="M466" s="52">
        <f t="shared" si="91"/>
        <v>10.496028460433532</v>
      </c>
      <c r="N466" s="52">
        <f t="shared" si="91"/>
        <v>24.467464058586902</v>
      </c>
      <c r="O466" s="52">
        <f t="shared" si="91"/>
        <v>18.822269541536038</v>
      </c>
      <c r="P466" s="52">
        <f t="shared" si="91"/>
        <v>1.635503815076081</v>
      </c>
      <c r="Q466" s="52">
        <f t="shared" si="91"/>
        <v>1.6359831170573853</v>
      </c>
    </row>
    <row r="467" spans="1:25" ht="15" x14ac:dyDescent="0.25">
      <c r="C467" s="2"/>
      <c r="D467" s="53"/>
      <c r="E467" s="53"/>
      <c r="F467" s="53"/>
      <c r="G467" s="53"/>
      <c r="H467" s="53"/>
      <c r="I467" s="53"/>
      <c r="J467" s="54"/>
      <c r="K467" s="54"/>
      <c r="L467" s="47"/>
      <c r="M467" s="47"/>
      <c r="N467" s="47"/>
      <c r="O467" s="47"/>
      <c r="P467" s="54"/>
      <c r="Q467" s="48"/>
    </row>
    <row r="468" spans="1:25" ht="15" x14ac:dyDescent="0.25">
      <c r="C468" s="2"/>
      <c r="D468" s="53"/>
      <c r="E468" s="53"/>
      <c r="F468" s="53"/>
      <c r="G468" s="53"/>
      <c r="H468" s="53"/>
      <c r="I468" s="53"/>
      <c r="J468" s="54"/>
      <c r="K468" s="54"/>
      <c r="L468" s="47"/>
      <c r="M468" s="47"/>
      <c r="N468" s="47"/>
      <c r="O468" s="47"/>
      <c r="P468" s="54"/>
      <c r="Q468" s="48"/>
    </row>
    <row r="469" spans="1:25" ht="15" x14ac:dyDescent="0.25">
      <c r="C469" s="2"/>
      <c r="D469" s="53"/>
      <c r="E469" s="53"/>
      <c r="F469" s="53"/>
      <c r="G469" s="53"/>
      <c r="H469" s="53"/>
      <c r="I469" s="53"/>
      <c r="J469" s="54"/>
      <c r="K469" s="54"/>
      <c r="L469" s="47"/>
      <c r="M469" s="47"/>
      <c r="N469" s="47"/>
      <c r="O469" s="47"/>
      <c r="P469" s="54"/>
      <c r="Q469" s="48"/>
    </row>
    <row r="470" spans="1:25" x14ac:dyDescent="0.2">
      <c r="C470" s="3"/>
      <c r="D470" s="16"/>
      <c r="E470" s="16"/>
      <c r="F470" s="16"/>
      <c r="G470" s="16"/>
      <c r="H470" s="16"/>
      <c r="I470" s="16"/>
      <c r="L470" s="52"/>
      <c r="M470" s="52"/>
      <c r="N470" s="52"/>
      <c r="O470" s="52"/>
      <c r="P470" s="52"/>
      <c r="Q470" s="52"/>
    </row>
    <row r="471" spans="1:25" x14ac:dyDescent="0.2">
      <c r="C471" s="3"/>
      <c r="D471" s="16"/>
      <c r="E471" s="16"/>
      <c r="F471" s="16"/>
      <c r="G471" s="16"/>
      <c r="H471" s="16"/>
      <c r="I471" s="16"/>
      <c r="L471" s="52"/>
      <c r="M471" s="52"/>
      <c r="N471" s="52"/>
      <c r="O471" s="52"/>
      <c r="P471" s="52"/>
      <c r="Q471" s="52"/>
    </row>
    <row r="473" spans="1:25" ht="15" x14ac:dyDescent="0.25">
      <c r="C473" s="2"/>
      <c r="D473" s="53"/>
      <c r="E473" s="53"/>
      <c r="F473" s="53"/>
      <c r="G473" s="53"/>
      <c r="H473" s="53"/>
      <c r="I473" s="53"/>
      <c r="J473" s="54"/>
      <c r="K473" s="54"/>
      <c r="L473" s="47"/>
      <c r="M473" s="47"/>
      <c r="N473" s="47"/>
      <c r="O473" s="47"/>
      <c r="P473" s="54"/>
      <c r="Q473" s="48"/>
    </row>
    <row r="474" spans="1:25" ht="15" x14ac:dyDescent="0.25">
      <c r="C474" s="2"/>
      <c r="D474" s="53"/>
      <c r="E474" s="53"/>
      <c r="F474" s="53"/>
      <c r="G474" s="53"/>
      <c r="H474" s="53"/>
      <c r="I474" s="53"/>
      <c r="J474" s="54"/>
      <c r="K474" s="54"/>
      <c r="L474" s="47"/>
      <c r="M474" s="47"/>
      <c r="N474" s="47"/>
      <c r="O474" s="47"/>
      <c r="P474" s="54"/>
      <c r="Q474" s="48"/>
    </row>
    <row r="475" spans="1:25" ht="15" x14ac:dyDescent="0.25">
      <c r="C475" s="2"/>
      <c r="D475" s="53"/>
      <c r="E475" s="53"/>
      <c r="F475" s="53"/>
      <c r="G475" s="53"/>
      <c r="H475" s="53"/>
      <c r="I475" s="53"/>
      <c r="J475" s="54"/>
      <c r="K475" s="54"/>
      <c r="L475" s="47"/>
      <c r="M475" s="47"/>
      <c r="N475" s="47"/>
      <c r="O475" s="47"/>
      <c r="P475" s="54"/>
      <c r="Q475" s="48"/>
    </row>
    <row r="476" spans="1:25" ht="15" x14ac:dyDescent="0.25">
      <c r="C476" s="2"/>
      <c r="D476" s="53"/>
      <c r="E476" s="53"/>
      <c r="F476" s="53"/>
      <c r="G476" s="53"/>
      <c r="H476" s="53"/>
      <c r="I476" s="53"/>
      <c r="J476" s="54"/>
      <c r="K476" s="54"/>
      <c r="L476" s="47"/>
      <c r="M476" s="47"/>
      <c r="N476" s="47"/>
      <c r="O476" s="47"/>
      <c r="P476" s="54"/>
      <c r="Q476" s="48"/>
    </row>
    <row r="477" spans="1:25" ht="15" x14ac:dyDescent="0.25">
      <c r="C477" s="2"/>
      <c r="D477" s="53"/>
      <c r="E477" s="53"/>
      <c r="F477" s="53"/>
      <c r="G477" s="53"/>
      <c r="H477" s="53"/>
      <c r="I477" s="53"/>
      <c r="J477" s="54"/>
      <c r="K477" s="54"/>
      <c r="L477" s="47"/>
      <c r="M477" s="47"/>
      <c r="N477" s="47"/>
      <c r="O477" s="47"/>
      <c r="P477" s="54"/>
      <c r="Q477" s="48"/>
    </row>
    <row r="478" spans="1:25" ht="15" x14ac:dyDescent="0.25">
      <c r="C478" s="2"/>
      <c r="D478" s="53"/>
      <c r="E478" s="53"/>
      <c r="F478" s="53"/>
      <c r="G478" s="53"/>
      <c r="H478" s="53"/>
      <c r="I478" s="53"/>
      <c r="J478" s="54"/>
      <c r="K478" s="54"/>
      <c r="L478" s="47"/>
      <c r="M478" s="47"/>
      <c r="N478" s="47"/>
      <c r="O478" s="47"/>
      <c r="P478" s="54"/>
      <c r="Q478" s="48"/>
    </row>
    <row r="479" spans="1:25" ht="15" x14ac:dyDescent="0.25">
      <c r="C479" s="2"/>
      <c r="D479" s="53"/>
      <c r="E479" s="53"/>
      <c r="F479" s="53"/>
      <c r="G479" s="53"/>
      <c r="H479" s="53"/>
      <c r="I479" s="53"/>
      <c r="J479" s="54"/>
      <c r="K479" s="54"/>
      <c r="L479" s="47"/>
      <c r="M479" s="47"/>
      <c r="N479" s="47"/>
      <c r="O479" s="47"/>
      <c r="P479" s="54"/>
      <c r="Q479" s="48"/>
    </row>
    <row r="480" spans="1:25" ht="15" x14ac:dyDescent="0.25">
      <c r="C480" s="2"/>
      <c r="D480" s="53"/>
      <c r="E480" s="53"/>
      <c r="F480" s="53"/>
      <c r="G480" s="53"/>
      <c r="H480" s="53"/>
      <c r="I480" s="53"/>
      <c r="J480" s="54"/>
      <c r="K480" s="54"/>
      <c r="L480" s="47"/>
      <c r="M480" s="47"/>
      <c r="N480" s="47"/>
      <c r="O480" s="47"/>
      <c r="P480" s="54"/>
      <c r="Q480" s="48"/>
    </row>
    <row r="481" spans="3:17" ht="15" x14ac:dyDescent="0.25">
      <c r="C481" s="2"/>
      <c r="D481" s="53"/>
      <c r="E481" s="53"/>
      <c r="F481" s="53"/>
      <c r="G481" s="53"/>
      <c r="H481" s="53"/>
      <c r="I481" s="53"/>
      <c r="J481" s="54"/>
      <c r="K481" s="54"/>
      <c r="L481" s="47"/>
      <c r="M481" s="47"/>
      <c r="N481" s="47"/>
      <c r="O481" s="47"/>
      <c r="P481" s="54"/>
      <c r="Q481" s="48"/>
    </row>
    <row r="482" spans="3:17" ht="15" x14ac:dyDescent="0.25">
      <c r="C482" s="2"/>
      <c r="D482" s="53"/>
      <c r="E482" s="53"/>
      <c r="F482" s="53"/>
      <c r="G482" s="53"/>
      <c r="H482" s="53"/>
      <c r="I482" s="53"/>
      <c r="J482" s="54"/>
      <c r="K482" s="54"/>
      <c r="L482" s="47"/>
      <c r="M482" s="47"/>
      <c r="N482" s="47"/>
      <c r="O482" s="47"/>
      <c r="P482" s="54"/>
      <c r="Q482" s="48"/>
    </row>
    <row r="483" spans="3:17" ht="15" x14ac:dyDescent="0.25">
      <c r="C483" s="2"/>
      <c r="D483" s="53"/>
      <c r="E483" s="53"/>
      <c r="F483" s="53"/>
      <c r="G483" s="53"/>
      <c r="H483" s="53"/>
      <c r="I483" s="53"/>
      <c r="J483" s="54"/>
      <c r="K483" s="54"/>
      <c r="L483" s="47"/>
      <c r="M483" s="47"/>
      <c r="N483" s="47"/>
      <c r="O483" s="47"/>
      <c r="P483" s="54"/>
      <c r="Q483" s="48"/>
    </row>
    <row r="484" spans="3:17" ht="15" x14ac:dyDescent="0.25">
      <c r="C484" s="2"/>
      <c r="D484" s="53"/>
      <c r="E484" s="53"/>
      <c r="F484" s="53"/>
      <c r="G484" s="53"/>
      <c r="H484" s="53"/>
      <c r="I484" s="53"/>
      <c r="J484" s="54"/>
      <c r="K484" s="54"/>
      <c r="L484" s="47"/>
      <c r="M484" s="47"/>
      <c r="N484" s="47"/>
      <c r="O484" s="47"/>
      <c r="P484" s="54"/>
      <c r="Q484" s="48"/>
    </row>
    <row r="485" spans="3:17" ht="15" x14ac:dyDescent="0.25">
      <c r="C485" s="2"/>
      <c r="D485" s="53"/>
      <c r="E485" s="53"/>
      <c r="F485" s="53"/>
      <c r="G485" s="53"/>
      <c r="H485" s="53"/>
      <c r="I485" s="53"/>
      <c r="J485" s="54"/>
      <c r="K485" s="54"/>
      <c r="L485" s="47"/>
      <c r="M485" s="47"/>
      <c r="N485" s="47"/>
      <c r="O485" s="47"/>
      <c r="P485" s="54"/>
      <c r="Q485" s="48"/>
    </row>
    <row r="486" spans="3:17" ht="15" x14ac:dyDescent="0.25">
      <c r="C486" s="2"/>
      <c r="D486" s="53"/>
      <c r="E486" s="53"/>
      <c r="F486" s="53"/>
      <c r="G486" s="53"/>
      <c r="H486" s="53"/>
      <c r="I486" s="53"/>
      <c r="J486" s="54"/>
      <c r="K486" s="54"/>
      <c r="L486" s="47"/>
      <c r="M486" s="47"/>
      <c r="N486" s="47"/>
      <c r="O486" s="47"/>
      <c r="P486" s="54"/>
      <c r="Q486" s="48"/>
    </row>
    <row r="487" spans="3:17" ht="15" x14ac:dyDescent="0.25">
      <c r="C487" s="2"/>
      <c r="D487" s="53"/>
      <c r="E487" s="53"/>
      <c r="F487" s="53"/>
      <c r="G487" s="53"/>
      <c r="H487" s="53"/>
      <c r="I487" s="53"/>
      <c r="J487" s="54"/>
      <c r="K487" s="54"/>
      <c r="L487" s="47"/>
      <c r="M487" s="47"/>
      <c r="N487" s="47"/>
      <c r="O487" s="47"/>
      <c r="P487" s="54"/>
      <c r="Q487" s="48"/>
    </row>
    <row r="488" spans="3:17" ht="15" x14ac:dyDescent="0.25">
      <c r="C488" s="2"/>
      <c r="D488" s="53"/>
      <c r="E488" s="53"/>
      <c r="F488" s="53"/>
      <c r="G488" s="53"/>
      <c r="H488" s="53"/>
      <c r="I488" s="53"/>
      <c r="J488" s="54"/>
      <c r="K488" s="54"/>
      <c r="L488" s="47"/>
      <c r="M488" s="47"/>
      <c r="N488" s="47"/>
      <c r="O488" s="47"/>
      <c r="P488" s="54"/>
      <c r="Q488" s="48"/>
    </row>
    <row r="489" spans="3:17" ht="15" x14ac:dyDescent="0.25">
      <c r="C489" s="2"/>
      <c r="D489" s="53"/>
      <c r="E489" s="53"/>
      <c r="F489" s="53"/>
      <c r="G489" s="53"/>
      <c r="H489" s="53"/>
      <c r="I489" s="53"/>
      <c r="J489" s="54"/>
      <c r="K489" s="54"/>
      <c r="L489" s="47"/>
      <c r="M489" s="47"/>
      <c r="N489" s="47"/>
      <c r="O489" s="47"/>
      <c r="P489" s="54"/>
      <c r="Q489" s="48"/>
    </row>
    <row r="490" spans="3:17" ht="15" x14ac:dyDescent="0.25">
      <c r="C490" s="2"/>
      <c r="D490" s="53"/>
      <c r="E490" s="53"/>
      <c r="F490" s="53"/>
      <c r="G490" s="53"/>
      <c r="H490" s="53"/>
      <c r="I490" s="53"/>
      <c r="J490" s="54"/>
      <c r="K490" s="54"/>
      <c r="L490" s="47"/>
      <c r="M490" s="47"/>
      <c r="N490" s="47"/>
      <c r="O490" s="47"/>
      <c r="P490" s="54"/>
      <c r="Q490" s="48"/>
    </row>
    <row r="491" spans="3:17" ht="15" x14ac:dyDescent="0.25">
      <c r="C491" s="2"/>
      <c r="D491" s="53"/>
      <c r="E491" s="53"/>
      <c r="F491" s="53"/>
      <c r="G491" s="53"/>
      <c r="H491" s="53"/>
      <c r="I491" s="53"/>
      <c r="J491" s="54"/>
      <c r="K491" s="54"/>
      <c r="L491" s="47"/>
      <c r="M491" s="47"/>
      <c r="N491" s="47"/>
      <c r="O491" s="47"/>
      <c r="P491" s="54"/>
      <c r="Q491" s="48"/>
    </row>
    <row r="492" spans="3:17" ht="15" x14ac:dyDescent="0.25">
      <c r="C492" s="2"/>
      <c r="D492" s="53"/>
      <c r="E492" s="53"/>
      <c r="F492" s="53"/>
      <c r="G492" s="53"/>
      <c r="H492" s="53"/>
      <c r="I492" s="53"/>
      <c r="J492" s="54"/>
      <c r="K492" s="54"/>
      <c r="L492" s="47"/>
      <c r="M492" s="47"/>
      <c r="N492" s="47"/>
      <c r="O492" s="47"/>
      <c r="P492" s="54"/>
      <c r="Q492" s="48"/>
    </row>
    <row r="493" spans="3:17" ht="15" x14ac:dyDescent="0.25">
      <c r="C493" s="2"/>
      <c r="D493" s="53"/>
      <c r="E493" s="53"/>
      <c r="F493" s="53"/>
      <c r="G493" s="53"/>
      <c r="H493" s="53"/>
      <c r="I493" s="53"/>
      <c r="J493" s="54"/>
      <c r="K493" s="54"/>
      <c r="L493" s="47"/>
      <c r="M493" s="47"/>
      <c r="N493" s="47"/>
      <c r="O493" s="47"/>
      <c r="P493" s="54"/>
      <c r="Q493" s="48"/>
    </row>
    <row r="494" spans="3:17" ht="15" x14ac:dyDescent="0.25">
      <c r="C494" s="2"/>
      <c r="D494" s="53"/>
      <c r="E494" s="53"/>
      <c r="F494" s="53"/>
      <c r="G494" s="53"/>
      <c r="H494" s="53"/>
      <c r="I494" s="53"/>
      <c r="J494" s="54"/>
      <c r="K494" s="54"/>
      <c r="L494" s="47"/>
      <c r="M494" s="47"/>
      <c r="N494" s="47"/>
      <c r="O494" s="47"/>
      <c r="P494" s="54"/>
      <c r="Q494" s="48"/>
    </row>
    <row r="495" spans="3:17" ht="15" x14ac:dyDescent="0.25">
      <c r="C495" s="2"/>
      <c r="D495" s="53"/>
      <c r="E495" s="53"/>
      <c r="F495" s="53"/>
      <c r="G495" s="53"/>
      <c r="H495" s="53"/>
      <c r="I495" s="53"/>
      <c r="J495" s="54"/>
      <c r="K495" s="54"/>
      <c r="L495" s="47"/>
      <c r="M495" s="47"/>
      <c r="N495" s="47"/>
      <c r="O495" s="47"/>
      <c r="P495" s="54"/>
      <c r="Q495" s="48"/>
    </row>
    <row r="496" spans="3:17" ht="15" x14ac:dyDescent="0.25">
      <c r="C496" s="2"/>
      <c r="D496" s="53"/>
      <c r="E496" s="53"/>
      <c r="F496" s="53"/>
      <c r="G496" s="53"/>
      <c r="H496" s="53"/>
      <c r="I496" s="53"/>
      <c r="J496" s="54"/>
      <c r="K496" s="54"/>
      <c r="L496" s="47"/>
      <c r="M496" s="47"/>
      <c r="N496" s="47"/>
      <c r="O496" s="47"/>
      <c r="P496" s="54"/>
      <c r="Q496" s="48"/>
    </row>
    <row r="497" spans="3:17" x14ac:dyDescent="0.2">
      <c r="C497" s="3"/>
      <c r="D497" s="16"/>
      <c r="E497" s="16"/>
      <c r="F497" s="16"/>
      <c r="G497" s="16"/>
      <c r="H497" s="16"/>
      <c r="I497" s="16"/>
      <c r="L497" s="52"/>
      <c r="M497" s="52"/>
      <c r="N497" s="52"/>
      <c r="O497" s="52"/>
      <c r="P497" s="52"/>
      <c r="Q497" s="52"/>
    </row>
    <row r="498" spans="3:17" x14ac:dyDescent="0.2">
      <c r="C498" s="3"/>
      <c r="D498" s="16"/>
      <c r="E498" s="16"/>
      <c r="F498" s="16"/>
      <c r="G498" s="16"/>
      <c r="H498" s="16"/>
      <c r="I498" s="16"/>
      <c r="L498" s="52"/>
      <c r="M498" s="52"/>
      <c r="N498" s="52"/>
      <c r="O498" s="52"/>
      <c r="P498" s="52"/>
      <c r="Q498" s="52"/>
    </row>
    <row r="500" spans="3:17" ht="15" x14ac:dyDescent="0.25">
      <c r="C500" s="2"/>
      <c r="D500" s="53"/>
      <c r="E500" s="53"/>
      <c r="F500" s="53"/>
      <c r="G500" s="53"/>
      <c r="H500" s="53"/>
      <c r="I500" s="53"/>
      <c r="J500" s="54"/>
      <c r="K500" s="54"/>
      <c r="L500" s="47"/>
      <c r="M500" s="47"/>
      <c r="N500" s="47"/>
      <c r="O500" s="47"/>
      <c r="P500" s="54"/>
      <c r="Q500" s="48"/>
    </row>
    <row r="501" spans="3:17" ht="15" x14ac:dyDescent="0.25">
      <c r="C501" s="2"/>
      <c r="D501" s="53"/>
      <c r="E501" s="53"/>
      <c r="F501" s="53"/>
      <c r="G501" s="53"/>
      <c r="H501" s="53"/>
      <c r="I501" s="53"/>
      <c r="J501" s="54"/>
      <c r="K501" s="54"/>
      <c r="L501" s="47"/>
      <c r="M501" s="47"/>
      <c r="N501" s="47"/>
      <c r="O501" s="47"/>
      <c r="P501" s="54"/>
      <c r="Q501" s="48"/>
    </row>
    <row r="502" spans="3:17" ht="15" x14ac:dyDescent="0.25">
      <c r="C502" s="2"/>
      <c r="D502" s="53"/>
      <c r="E502" s="53"/>
      <c r="F502" s="53"/>
      <c r="G502" s="53"/>
      <c r="H502" s="53"/>
      <c r="I502" s="53"/>
      <c r="J502" s="54"/>
      <c r="K502" s="54"/>
      <c r="L502" s="47"/>
      <c r="M502" s="47"/>
      <c r="N502" s="47"/>
      <c r="O502" s="47"/>
      <c r="P502" s="54"/>
      <c r="Q502" s="48"/>
    </row>
    <row r="503" spans="3:17" ht="15" x14ac:dyDescent="0.25">
      <c r="C503" s="2"/>
      <c r="D503" s="53"/>
      <c r="E503" s="53"/>
      <c r="F503" s="53"/>
      <c r="G503" s="53"/>
      <c r="H503" s="53"/>
      <c r="I503" s="53"/>
      <c r="J503" s="54"/>
      <c r="K503" s="54"/>
      <c r="L503" s="47"/>
      <c r="M503" s="47"/>
      <c r="N503" s="47"/>
      <c r="O503" s="47"/>
      <c r="P503" s="54"/>
      <c r="Q503" s="48"/>
    </row>
    <row r="504" spans="3:17" ht="15" x14ac:dyDescent="0.25">
      <c r="C504" s="2"/>
      <c r="D504" s="53"/>
      <c r="E504" s="53"/>
      <c r="F504" s="53"/>
      <c r="G504" s="53"/>
      <c r="H504" s="53"/>
      <c r="I504" s="53"/>
      <c r="J504" s="54"/>
      <c r="K504" s="54"/>
      <c r="L504" s="47"/>
      <c r="M504" s="47"/>
      <c r="N504" s="47"/>
      <c r="O504" s="47"/>
      <c r="P504" s="54"/>
      <c r="Q504" s="48"/>
    </row>
    <row r="505" spans="3:17" ht="15" x14ac:dyDescent="0.25">
      <c r="C505" s="2"/>
      <c r="D505" s="53"/>
      <c r="E505" s="53"/>
      <c r="F505" s="53"/>
      <c r="G505" s="53"/>
      <c r="H505" s="53"/>
      <c r="I505" s="53"/>
      <c r="J505" s="54"/>
      <c r="K505" s="54"/>
      <c r="L505" s="47"/>
      <c r="M505" s="47"/>
      <c r="N505" s="47"/>
      <c r="O505" s="47"/>
      <c r="P505" s="54"/>
      <c r="Q505" s="48"/>
    </row>
    <row r="506" spans="3:17" ht="15" x14ac:dyDescent="0.25">
      <c r="C506" s="2"/>
      <c r="D506" s="53"/>
      <c r="E506" s="53"/>
      <c r="F506" s="53"/>
      <c r="G506" s="53"/>
      <c r="H506" s="53"/>
      <c r="I506" s="53"/>
      <c r="J506" s="54"/>
      <c r="K506" s="54"/>
      <c r="L506" s="47"/>
      <c r="M506" s="47"/>
      <c r="N506" s="47"/>
      <c r="O506" s="47"/>
      <c r="P506" s="54"/>
      <c r="Q506" s="48"/>
    </row>
    <row r="507" spans="3:17" ht="15" x14ac:dyDescent="0.25">
      <c r="C507" s="2"/>
      <c r="D507" s="53"/>
      <c r="E507" s="53"/>
      <c r="F507" s="53"/>
      <c r="G507" s="53"/>
      <c r="H507" s="53"/>
      <c r="I507" s="53"/>
      <c r="J507" s="54"/>
      <c r="K507" s="54"/>
      <c r="L507" s="47"/>
      <c r="M507" s="47"/>
      <c r="N507" s="47"/>
      <c r="O507" s="47"/>
      <c r="P507" s="54"/>
      <c r="Q507" s="48"/>
    </row>
    <row r="508" spans="3:17" ht="15" x14ac:dyDescent="0.25">
      <c r="C508" s="2"/>
      <c r="D508" s="53"/>
      <c r="E508" s="53"/>
      <c r="F508" s="53"/>
      <c r="G508" s="53"/>
      <c r="H508" s="53"/>
      <c r="I508" s="53"/>
      <c r="J508" s="54"/>
      <c r="K508" s="54"/>
      <c r="L508" s="47"/>
      <c r="M508" s="47"/>
      <c r="N508" s="47"/>
      <c r="O508" s="47"/>
      <c r="P508" s="54"/>
      <c r="Q508" s="48"/>
    </row>
    <row r="509" spans="3:17" ht="15" x14ac:dyDescent="0.25">
      <c r="C509" s="2"/>
      <c r="D509" s="53"/>
      <c r="E509" s="53"/>
      <c r="F509" s="53"/>
      <c r="G509" s="53"/>
      <c r="H509" s="53"/>
      <c r="I509" s="53"/>
      <c r="J509" s="54"/>
      <c r="K509" s="54"/>
      <c r="L509" s="47"/>
      <c r="M509" s="47"/>
      <c r="N509" s="47"/>
      <c r="O509" s="47"/>
      <c r="P509" s="54"/>
      <c r="Q509" s="48"/>
    </row>
    <row r="510" spans="3:17" ht="15" x14ac:dyDescent="0.25">
      <c r="C510" s="2"/>
      <c r="D510" s="53"/>
      <c r="E510" s="53"/>
      <c r="F510" s="53"/>
      <c r="G510" s="53"/>
      <c r="H510" s="53"/>
      <c r="I510" s="53"/>
      <c r="J510" s="54"/>
      <c r="K510" s="54"/>
      <c r="L510" s="47"/>
      <c r="M510" s="47"/>
      <c r="N510" s="47"/>
      <c r="O510" s="47"/>
      <c r="P510" s="54"/>
      <c r="Q510" s="48"/>
    </row>
    <row r="511" spans="3:17" ht="15" x14ac:dyDescent="0.25">
      <c r="C511" s="2"/>
      <c r="D511" s="53"/>
      <c r="E511" s="53"/>
      <c r="F511" s="53"/>
      <c r="G511" s="53"/>
      <c r="H511" s="53"/>
      <c r="I511" s="53"/>
      <c r="J511" s="54"/>
      <c r="K511" s="54"/>
      <c r="L511" s="47"/>
      <c r="M511" s="47"/>
      <c r="N511" s="47"/>
      <c r="O511" s="47"/>
      <c r="P511" s="54"/>
      <c r="Q511" s="48"/>
    </row>
    <row r="512" spans="3:17" ht="15" x14ac:dyDescent="0.25">
      <c r="C512" s="2"/>
      <c r="D512" s="53"/>
      <c r="E512" s="53"/>
      <c r="F512" s="53"/>
      <c r="G512" s="53"/>
      <c r="H512" s="53"/>
      <c r="I512" s="53"/>
      <c r="J512" s="54"/>
      <c r="K512" s="54"/>
      <c r="L512" s="47"/>
      <c r="M512" s="47"/>
      <c r="N512" s="47"/>
      <c r="O512" s="47"/>
      <c r="P512" s="54"/>
      <c r="Q512" s="48"/>
    </row>
    <row r="513" spans="3:17" ht="15" x14ac:dyDescent="0.25">
      <c r="C513" s="2"/>
      <c r="D513" s="53"/>
      <c r="E513" s="53"/>
      <c r="F513" s="53"/>
      <c r="G513" s="53"/>
      <c r="H513" s="53"/>
      <c r="I513" s="53"/>
      <c r="J513" s="54"/>
      <c r="K513" s="54"/>
      <c r="L513" s="47"/>
      <c r="M513" s="47"/>
      <c r="N513" s="47"/>
      <c r="O513" s="47"/>
      <c r="P513" s="54"/>
      <c r="Q513" s="48"/>
    </row>
    <row r="514" spans="3:17" ht="15" x14ac:dyDescent="0.25">
      <c r="C514" s="2"/>
      <c r="D514" s="53"/>
      <c r="E514" s="53"/>
      <c r="F514" s="53"/>
      <c r="G514" s="53"/>
      <c r="H514" s="53"/>
      <c r="I514" s="53"/>
      <c r="J514" s="54"/>
      <c r="K514" s="54"/>
      <c r="L514" s="47"/>
      <c r="M514" s="47"/>
      <c r="N514" s="47"/>
      <c r="O514" s="47"/>
      <c r="P514" s="54"/>
      <c r="Q514" s="48"/>
    </row>
    <row r="515" spans="3:17" ht="15" x14ac:dyDescent="0.25">
      <c r="C515" s="2"/>
      <c r="D515" s="53"/>
      <c r="E515" s="53"/>
      <c r="F515" s="53"/>
      <c r="G515" s="53"/>
      <c r="H515" s="53"/>
      <c r="I515" s="53"/>
      <c r="J515" s="54"/>
      <c r="K515" s="54"/>
      <c r="L515" s="47"/>
      <c r="M515" s="47"/>
      <c r="N515" s="47"/>
      <c r="O515" s="47"/>
      <c r="P515" s="54"/>
      <c r="Q515" s="48"/>
    </row>
    <row r="516" spans="3:17" ht="15" x14ac:dyDescent="0.25">
      <c r="C516" s="2"/>
      <c r="D516" s="53"/>
      <c r="E516" s="53"/>
      <c r="F516" s="53"/>
      <c r="G516" s="53"/>
      <c r="H516" s="53"/>
      <c r="I516" s="53"/>
      <c r="J516" s="54"/>
      <c r="K516" s="54"/>
      <c r="L516" s="47"/>
      <c r="M516" s="47"/>
      <c r="N516" s="47"/>
      <c r="O516" s="47"/>
      <c r="P516" s="54"/>
      <c r="Q516" s="48"/>
    </row>
    <row r="517" spans="3:17" ht="15" x14ac:dyDescent="0.25">
      <c r="C517" s="2"/>
      <c r="D517" s="53"/>
      <c r="E517" s="53"/>
      <c r="F517" s="53"/>
      <c r="G517" s="53"/>
      <c r="H517" s="53"/>
      <c r="I517" s="53"/>
      <c r="J517" s="54"/>
      <c r="K517" s="54"/>
      <c r="L517" s="47"/>
      <c r="M517" s="47"/>
      <c r="N517" s="47"/>
      <c r="O517" s="47"/>
      <c r="P517" s="54"/>
      <c r="Q517" s="48"/>
    </row>
    <row r="518" spans="3:17" ht="15" x14ac:dyDescent="0.25">
      <c r="C518" s="2"/>
      <c r="D518" s="53"/>
      <c r="E518" s="53"/>
      <c r="F518" s="53"/>
      <c r="G518" s="53"/>
      <c r="H518" s="53"/>
      <c r="I518" s="53"/>
      <c r="J518" s="54"/>
      <c r="K518" s="54"/>
      <c r="L518" s="47"/>
      <c r="M518" s="47"/>
      <c r="N518" s="47"/>
      <c r="O518" s="47"/>
      <c r="P518" s="54"/>
      <c r="Q518" s="48"/>
    </row>
    <row r="519" spans="3:17" ht="15" x14ac:dyDescent="0.25">
      <c r="C519" s="2"/>
      <c r="D519" s="53"/>
      <c r="E519" s="53"/>
      <c r="F519" s="53"/>
      <c r="G519" s="53"/>
      <c r="H519" s="53"/>
      <c r="I519" s="53"/>
      <c r="J519" s="54"/>
      <c r="K519" s="54"/>
      <c r="L519" s="47"/>
      <c r="M519" s="47"/>
      <c r="N519" s="47"/>
      <c r="O519" s="47"/>
      <c r="P519" s="54"/>
      <c r="Q519" s="48"/>
    </row>
    <row r="520" spans="3:17" ht="15" x14ac:dyDescent="0.25">
      <c r="C520" s="2"/>
      <c r="D520" s="53"/>
      <c r="E520" s="53"/>
      <c r="F520" s="53"/>
      <c r="G520" s="53"/>
      <c r="H520" s="53"/>
      <c r="I520" s="53"/>
      <c r="J520" s="54"/>
      <c r="K520" s="54"/>
      <c r="L520" s="47"/>
      <c r="M520" s="47"/>
      <c r="N520" s="47"/>
      <c r="O520" s="47"/>
      <c r="P520" s="54"/>
      <c r="Q520" s="48"/>
    </row>
    <row r="521" spans="3:17" ht="15" x14ac:dyDescent="0.25">
      <c r="C521" s="2"/>
      <c r="D521" s="53"/>
      <c r="E521" s="53"/>
      <c r="F521" s="53"/>
      <c r="G521" s="53"/>
      <c r="H521" s="53"/>
      <c r="I521" s="53"/>
      <c r="J521" s="54"/>
      <c r="K521" s="54"/>
      <c r="L521" s="47"/>
      <c r="M521" s="47"/>
      <c r="N521" s="47"/>
      <c r="O521" s="47"/>
      <c r="P521" s="54"/>
      <c r="Q521" s="48"/>
    </row>
    <row r="522" spans="3:17" ht="15" x14ac:dyDescent="0.25">
      <c r="C522" s="2"/>
      <c r="D522" s="53"/>
      <c r="E522" s="53"/>
      <c r="F522" s="53"/>
      <c r="G522" s="53"/>
      <c r="H522" s="53"/>
      <c r="I522" s="53"/>
      <c r="J522" s="54"/>
      <c r="K522" s="54"/>
      <c r="L522" s="47"/>
      <c r="M522" s="47"/>
      <c r="N522" s="47"/>
      <c r="O522" s="47"/>
      <c r="P522" s="54"/>
      <c r="Q522" s="48"/>
    </row>
    <row r="523" spans="3:17" ht="15" x14ac:dyDescent="0.25">
      <c r="C523" s="2"/>
      <c r="D523" s="53"/>
      <c r="E523" s="53"/>
      <c r="F523" s="53"/>
      <c r="G523" s="53"/>
      <c r="H523" s="53"/>
      <c r="I523" s="53"/>
      <c r="J523" s="54"/>
      <c r="K523" s="54"/>
      <c r="L523" s="47"/>
      <c r="M523" s="47"/>
      <c r="N523" s="47"/>
      <c r="O523" s="47"/>
      <c r="P523" s="54"/>
      <c r="Q523" s="48"/>
    </row>
    <row r="524" spans="3:17" x14ac:dyDescent="0.2">
      <c r="C524" s="3"/>
      <c r="D524" s="16"/>
      <c r="E524" s="16"/>
      <c r="F524" s="16"/>
      <c r="G524" s="16"/>
      <c r="H524" s="16"/>
      <c r="I524" s="16"/>
      <c r="L524" s="52"/>
      <c r="M524" s="52"/>
      <c r="N524" s="52"/>
      <c r="O524" s="52"/>
      <c r="P524" s="52"/>
      <c r="Q524" s="52"/>
    </row>
    <row r="525" spans="3:17" x14ac:dyDescent="0.2">
      <c r="C525" s="3"/>
      <c r="D525" s="16"/>
      <c r="E525" s="16"/>
      <c r="F525" s="16"/>
      <c r="G525" s="16"/>
      <c r="H525" s="16"/>
      <c r="I525" s="16"/>
      <c r="L525" s="52"/>
      <c r="M525" s="52"/>
      <c r="N525" s="52"/>
      <c r="O525" s="52"/>
      <c r="P525" s="52"/>
      <c r="Q525" s="52"/>
    </row>
    <row r="527" spans="3:17" ht="15" x14ac:dyDescent="0.25">
      <c r="C527" s="2"/>
      <c r="D527" s="53"/>
      <c r="E527" s="53"/>
      <c r="F527" s="53"/>
      <c r="G527" s="53"/>
      <c r="H527" s="53"/>
      <c r="I527" s="53"/>
      <c r="J527" s="54"/>
      <c r="K527" s="54"/>
      <c r="L527" s="47"/>
      <c r="M527" s="47"/>
      <c r="N527" s="47"/>
      <c r="O527" s="47"/>
      <c r="P527" s="54"/>
      <c r="Q527" s="48"/>
    </row>
    <row r="528" spans="3:17" ht="15" x14ac:dyDescent="0.25">
      <c r="C528" s="2"/>
      <c r="D528" s="53"/>
      <c r="E528" s="53"/>
      <c r="F528" s="53"/>
      <c r="G528" s="53"/>
      <c r="H528" s="53"/>
      <c r="I528" s="53"/>
      <c r="J528" s="54"/>
      <c r="K528" s="54"/>
      <c r="L528" s="47"/>
      <c r="M528" s="47"/>
      <c r="N528" s="47"/>
      <c r="O528" s="47"/>
      <c r="P528" s="54"/>
      <c r="Q528" s="48"/>
    </row>
    <row r="529" spans="3:17" ht="15" x14ac:dyDescent="0.25">
      <c r="C529" s="2"/>
      <c r="D529" s="53"/>
      <c r="E529" s="53"/>
      <c r="F529" s="53"/>
      <c r="G529" s="53"/>
      <c r="H529" s="53"/>
      <c r="I529" s="53"/>
      <c r="J529" s="54"/>
      <c r="K529" s="54"/>
      <c r="L529" s="47"/>
      <c r="M529" s="47"/>
      <c r="N529" s="47"/>
      <c r="O529" s="47"/>
      <c r="P529" s="54"/>
      <c r="Q529" s="48"/>
    </row>
    <row r="530" spans="3:17" ht="15" x14ac:dyDescent="0.25">
      <c r="C530" s="2"/>
      <c r="D530" s="53"/>
      <c r="E530" s="53"/>
      <c r="F530" s="53"/>
      <c r="G530" s="53"/>
      <c r="H530" s="53"/>
      <c r="I530" s="53"/>
      <c r="J530" s="54"/>
      <c r="K530" s="54"/>
      <c r="L530" s="47"/>
      <c r="M530" s="47"/>
      <c r="N530" s="47"/>
      <c r="O530" s="47"/>
      <c r="P530" s="54"/>
      <c r="Q530" s="48"/>
    </row>
    <row r="531" spans="3:17" ht="15" x14ac:dyDescent="0.25">
      <c r="C531" s="2"/>
      <c r="D531" s="53"/>
      <c r="E531" s="53"/>
      <c r="F531" s="53"/>
      <c r="G531" s="53"/>
      <c r="H531" s="53"/>
      <c r="I531" s="53"/>
      <c r="J531" s="54"/>
      <c r="K531" s="54"/>
      <c r="L531" s="47"/>
      <c r="M531" s="47"/>
      <c r="N531" s="47"/>
      <c r="O531" s="47"/>
      <c r="P531" s="54"/>
      <c r="Q531" s="48"/>
    </row>
    <row r="532" spans="3:17" ht="15" x14ac:dyDescent="0.25">
      <c r="C532" s="2"/>
      <c r="D532" s="53"/>
      <c r="E532" s="53"/>
      <c r="F532" s="53"/>
      <c r="G532" s="53"/>
      <c r="H532" s="53"/>
      <c r="I532" s="53"/>
      <c r="J532" s="54"/>
      <c r="K532" s="54"/>
      <c r="L532" s="47"/>
      <c r="M532" s="47"/>
      <c r="N532" s="47"/>
      <c r="O532" s="47"/>
      <c r="P532" s="54"/>
      <c r="Q532" s="48"/>
    </row>
    <row r="533" spans="3:17" ht="15" x14ac:dyDescent="0.25">
      <c r="C533" s="2"/>
      <c r="D533" s="53"/>
      <c r="E533" s="53"/>
      <c r="F533" s="53"/>
      <c r="G533" s="53"/>
      <c r="H533" s="53"/>
      <c r="I533" s="53"/>
      <c r="J533" s="54"/>
      <c r="K533" s="54"/>
      <c r="L533" s="47"/>
      <c r="M533" s="47"/>
      <c r="N533" s="47"/>
      <c r="O533" s="47"/>
      <c r="P533" s="54"/>
      <c r="Q533" s="48"/>
    </row>
    <row r="534" spans="3:17" ht="15" x14ac:dyDescent="0.25">
      <c r="C534" s="2"/>
      <c r="D534" s="53"/>
      <c r="E534" s="53"/>
      <c r="F534" s="53"/>
      <c r="G534" s="53"/>
      <c r="H534" s="53"/>
      <c r="I534" s="53"/>
      <c r="J534" s="54"/>
      <c r="K534" s="54"/>
      <c r="L534" s="47"/>
      <c r="M534" s="47"/>
      <c r="N534" s="47"/>
      <c r="O534" s="47"/>
      <c r="P534" s="54"/>
      <c r="Q534" s="48"/>
    </row>
    <row r="535" spans="3:17" ht="15" x14ac:dyDescent="0.25">
      <c r="C535" s="2"/>
      <c r="D535" s="53"/>
      <c r="E535" s="53"/>
      <c r="F535" s="53"/>
      <c r="G535" s="53"/>
      <c r="H535" s="53"/>
      <c r="I535" s="53"/>
      <c r="J535" s="54"/>
      <c r="K535" s="54"/>
      <c r="L535" s="47"/>
      <c r="M535" s="47"/>
      <c r="N535" s="47"/>
      <c r="O535" s="47"/>
      <c r="P535" s="54"/>
      <c r="Q535" s="48"/>
    </row>
    <row r="536" spans="3:17" ht="15" x14ac:dyDescent="0.25">
      <c r="C536" s="2"/>
      <c r="D536" s="53"/>
      <c r="E536" s="53"/>
      <c r="F536" s="53"/>
      <c r="G536" s="53"/>
      <c r="H536" s="53"/>
      <c r="I536" s="53"/>
      <c r="J536" s="54"/>
      <c r="K536" s="54"/>
      <c r="L536" s="47"/>
      <c r="M536" s="47"/>
      <c r="N536" s="47"/>
      <c r="O536" s="47"/>
      <c r="P536" s="54"/>
      <c r="Q536" s="48"/>
    </row>
    <row r="537" spans="3:17" ht="15" x14ac:dyDescent="0.25">
      <c r="C537" s="2"/>
      <c r="D537" s="53"/>
      <c r="E537" s="53"/>
      <c r="F537" s="53"/>
      <c r="G537" s="53"/>
      <c r="H537" s="53"/>
      <c r="I537" s="53"/>
      <c r="J537" s="54"/>
      <c r="K537" s="54"/>
      <c r="L537" s="47"/>
      <c r="M537" s="47"/>
      <c r="N537" s="47"/>
      <c r="O537" s="47"/>
      <c r="P537" s="54"/>
      <c r="Q537" s="48"/>
    </row>
    <row r="538" spans="3:17" ht="15" x14ac:dyDescent="0.25">
      <c r="C538" s="2"/>
      <c r="D538" s="53"/>
      <c r="E538" s="53"/>
      <c r="F538" s="53"/>
      <c r="G538" s="53"/>
      <c r="H538" s="53"/>
      <c r="I538" s="53"/>
      <c r="J538" s="54"/>
      <c r="K538" s="54"/>
      <c r="L538" s="47"/>
      <c r="M538" s="47"/>
      <c r="N538" s="47"/>
      <c r="O538" s="47"/>
      <c r="P538" s="54"/>
      <c r="Q538" s="48"/>
    </row>
    <row r="539" spans="3:17" ht="15" x14ac:dyDescent="0.25">
      <c r="C539" s="2"/>
      <c r="D539" s="53"/>
      <c r="E539" s="53"/>
      <c r="F539" s="53"/>
      <c r="G539" s="53"/>
      <c r="H539" s="53"/>
      <c r="I539" s="53"/>
      <c r="J539" s="54"/>
      <c r="K539" s="54"/>
      <c r="L539" s="47"/>
      <c r="M539" s="47"/>
      <c r="N539" s="47"/>
      <c r="O539" s="47"/>
      <c r="P539" s="54"/>
      <c r="Q539" s="48"/>
    </row>
    <row r="540" spans="3:17" ht="15" x14ac:dyDescent="0.25">
      <c r="C540" s="2"/>
      <c r="D540" s="53"/>
      <c r="E540" s="53"/>
      <c r="F540" s="53"/>
      <c r="G540" s="53"/>
      <c r="H540" s="53"/>
      <c r="I540" s="53"/>
      <c r="J540" s="54"/>
      <c r="K540" s="54"/>
      <c r="L540" s="47"/>
      <c r="M540" s="47"/>
      <c r="N540" s="47"/>
      <c r="O540" s="47"/>
      <c r="P540" s="54"/>
      <c r="Q540" s="48"/>
    </row>
    <row r="541" spans="3:17" ht="15" x14ac:dyDescent="0.25">
      <c r="C541" s="2"/>
      <c r="D541" s="53"/>
      <c r="E541" s="53"/>
      <c r="F541" s="53"/>
      <c r="G541" s="53"/>
      <c r="H541" s="53"/>
      <c r="I541" s="53"/>
      <c r="J541" s="54"/>
      <c r="K541" s="54"/>
      <c r="L541" s="47"/>
      <c r="M541" s="47"/>
      <c r="N541" s="47"/>
      <c r="O541" s="47"/>
      <c r="P541" s="54"/>
      <c r="Q541" s="48"/>
    </row>
    <row r="542" spans="3:17" ht="15" x14ac:dyDescent="0.25">
      <c r="C542" s="2"/>
      <c r="D542" s="53"/>
      <c r="E542" s="53"/>
      <c r="F542" s="53"/>
      <c r="G542" s="53"/>
      <c r="H542" s="53"/>
      <c r="I542" s="53"/>
      <c r="J542" s="54"/>
      <c r="K542" s="54"/>
      <c r="L542" s="47"/>
      <c r="M542" s="47"/>
      <c r="N542" s="47"/>
      <c r="O542" s="47"/>
      <c r="P542" s="54"/>
      <c r="Q542" s="48"/>
    </row>
    <row r="543" spans="3:17" ht="15" x14ac:dyDescent="0.25">
      <c r="C543" s="2"/>
      <c r="D543" s="53"/>
      <c r="E543" s="53"/>
      <c r="F543" s="53"/>
      <c r="G543" s="53"/>
      <c r="H543" s="53"/>
      <c r="I543" s="53"/>
      <c r="J543" s="54"/>
      <c r="K543" s="54"/>
      <c r="L543" s="47"/>
      <c r="M543" s="47"/>
      <c r="N543" s="47"/>
      <c r="O543" s="47"/>
      <c r="P543" s="54"/>
      <c r="Q543" s="48"/>
    </row>
    <row r="544" spans="3:17" ht="15" x14ac:dyDescent="0.25">
      <c r="C544" s="2"/>
      <c r="D544" s="53"/>
      <c r="E544" s="53"/>
      <c r="F544" s="53"/>
      <c r="G544" s="53"/>
      <c r="H544" s="53"/>
      <c r="I544" s="53"/>
      <c r="J544" s="54"/>
      <c r="K544" s="54"/>
      <c r="L544" s="47"/>
      <c r="M544" s="47"/>
      <c r="N544" s="47"/>
      <c r="O544" s="47"/>
      <c r="P544" s="54"/>
      <c r="Q544" s="48"/>
    </row>
    <row r="545" spans="3:17" ht="15" x14ac:dyDescent="0.25">
      <c r="C545" s="2"/>
      <c r="D545" s="53"/>
      <c r="E545" s="53"/>
      <c r="F545" s="53"/>
      <c r="G545" s="53"/>
      <c r="H545" s="53"/>
      <c r="I545" s="53"/>
      <c r="J545" s="54"/>
      <c r="K545" s="54"/>
      <c r="L545" s="47"/>
      <c r="M545" s="47"/>
      <c r="N545" s="47"/>
      <c r="O545" s="47"/>
      <c r="P545" s="54"/>
      <c r="Q545" s="48"/>
    </row>
    <row r="546" spans="3:17" ht="15" x14ac:dyDescent="0.25">
      <c r="C546" s="2"/>
      <c r="D546" s="53"/>
      <c r="E546" s="53"/>
      <c r="F546" s="53"/>
      <c r="G546" s="53"/>
      <c r="H546" s="53"/>
      <c r="I546" s="53"/>
      <c r="J546" s="54"/>
      <c r="K546" s="54"/>
      <c r="L546" s="47"/>
      <c r="M546" s="47"/>
      <c r="N546" s="47"/>
      <c r="O546" s="47"/>
      <c r="P546" s="54"/>
      <c r="Q546" s="48"/>
    </row>
    <row r="547" spans="3:17" ht="15" x14ac:dyDescent="0.25">
      <c r="C547" s="2"/>
      <c r="D547" s="53"/>
      <c r="E547" s="53"/>
      <c r="F547" s="53"/>
      <c r="G547" s="53"/>
      <c r="H547" s="53"/>
      <c r="I547" s="53"/>
      <c r="J547" s="54"/>
      <c r="K547" s="54"/>
      <c r="L547" s="47"/>
      <c r="M547" s="47"/>
      <c r="N547" s="47"/>
      <c r="O547" s="47"/>
      <c r="P547" s="54"/>
      <c r="Q547" s="48"/>
    </row>
    <row r="548" spans="3:17" ht="15" x14ac:dyDescent="0.25">
      <c r="C548" s="2"/>
      <c r="D548" s="53"/>
      <c r="E548" s="53"/>
      <c r="F548" s="53"/>
      <c r="G548" s="53"/>
      <c r="H548" s="53"/>
      <c r="I548" s="53"/>
      <c r="J548" s="54"/>
      <c r="K548" s="54"/>
      <c r="L548" s="47"/>
      <c r="M548" s="47"/>
      <c r="N548" s="47"/>
      <c r="O548" s="47"/>
      <c r="P548" s="54"/>
      <c r="Q548" s="48"/>
    </row>
    <row r="549" spans="3:17" ht="15" x14ac:dyDescent="0.25">
      <c r="C549" s="2"/>
      <c r="D549" s="53"/>
      <c r="E549" s="53"/>
      <c r="F549" s="53"/>
      <c r="G549" s="53"/>
      <c r="H549" s="53"/>
      <c r="I549" s="53"/>
      <c r="J549" s="54"/>
      <c r="K549" s="54"/>
      <c r="L549" s="47"/>
      <c r="M549" s="47"/>
      <c r="N549" s="47"/>
      <c r="O549" s="47"/>
      <c r="P549" s="54"/>
      <c r="Q549" s="48"/>
    </row>
    <row r="550" spans="3:17" ht="15" x14ac:dyDescent="0.25">
      <c r="C550" s="2"/>
      <c r="D550" s="53"/>
      <c r="E550" s="53"/>
      <c r="F550" s="53"/>
      <c r="G550" s="53"/>
      <c r="H550" s="53"/>
      <c r="I550" s="53"/>
      <c r="J550" s="54"/>
      <c r="K550" s="54"/>
      <c r="L550" s="47"/>
      <c r="M550" s="47"/>
      <c r="N550" s="47"/>
      <c r="O550" s="47"/>
      <c r="P550" s="54"/>
      <c r="Q550" s="48"/>
    </row>
    <row r="551" spans="3:17" x14ac:dyDescent="0.2">
      <c r="C551" s="3"/>
      <c r="D551" s="16"/>
      <c r="E551" s="16"/>
      <c r="F551" s="16"/>
      <c r="G551" s="16"/>
      <c r="H551" s="16"/>
      <c r="I551" s="16"/>
      <c r="L551" s="52"/>
      <c r="M551" s="52"/>
      <c r="N551" s="52"/>
      <c r="O551" s="52"/>
      <c r="P551" s="52"/>
      <c r="Q551" s="52"/>
    </row>
    <row r="552" spans="3:17" x14ac:dyDescent="0.2">
      <c r="C552" s="3"/>
      <c r="D552" s="16"/>
      <c r="E552" s="16"/>
      <c r="F552" s="16"/>
      <c r="G552" s="16"/>
      <c r="H552" s="16"/>
      <c r="I552" s="16"/>
      <c r="L552" s="52"/>
      <c r="M552" s="52"/>
      <c r="N552" s="52"/>
      <c r="O552" s="52"/>
      <c r="P552" s="52"/>
      <c r="Q552" s="52"/>
    </row>
    <row r="554" spans="3:17" ht="15" x14ac:dyDescent="0.25">
      <c r="C554" s="2"/>
      <c r="D554" s="53"/>
      <c r="E554" s="53"/>
      <c r="F554" s="53"/>
      <c r="G554" s="53"/>
      <c r="H554" s="53"/>
      <c r="I554" s="53"/>
      <c r="J554" s="54"/>
      <c r="K554" s="54"/>
      <c r="L554" s="47"/>
      <c r="M554" s="47"/>
      <c r="N554" s="47"/>
      <c r="O554" s="47"/>
      <c r="P554" s="54"/>
      <c r="Q554" s="48"/>
    </row>
    <row r="555" spans="3:17" ht="15" x14ac:dyDescent="0.25">
      <c r="C555" s="2"/>
      <c r="D555" s="53"/>
      <c r="E555" s="53"/>
      <c r="F555" s="53"/>
      <c r="G555" s="53"/>
      <c r="H555" s="53"/>
      <c r="I555" s="53"/>
      <c r="J555" s="54"/>
      <c r="K555" s="54"/>
      <c r="L555" s="47"/>
      <c r="M555" s="47"/>
      <c r="N555" s="47"/>
      <c r="O555" s="47"/>
      <c r="P555" s="54"/>
      <c r="Q555" s="48"/>
    </row>
    <row r="556" spans="3:17" ht="15" x14ac:dyDescent="0.25">
      <c r="C556" s="2"/>
      <c r="D556" s="53"/>
      <c r="E556" s="53"/>
      <c r="F556" s="53"/>
      <c r="G556" s="53"/>
      <c r="H556" s="53"/>
      <c r="I556" s="53"/>
      <c r="J556" s="54"/>
      <c r="K556" s="54"/>
      <c r="L556" s="47"/>
      <c r="M556" s="47"/>
      <c r="N556" s="47"/>
      <c r="O556" s="47"/>
      <c r="P556" s="54"/>
      <c r="Q556" s="48"/>
    </row>
    <row r="557" spans="3:17" ht="15" x14ac:dyDescent="0.25">
      <c r="C557" s="2"/>
      <c r="D557" s="53"/>
      <c r="E557" s="53"/>
      <c r="F557" s="53"/>
      <c r="G557" s="53"/>
      <c r="H557" s="53"/>
      <c r="I557" s="53"/>
      <c r="J557" s="54"/>
      <c r="K557" s="54"/>
      <c r="L557" s="47"/>
      <c r="M557" s="47"/>
      <c r="N557" s="47"/>
      <c r="O557" s="47"/>
      <c r="P557" s="54"/>
      <c r="Q557" s="48"/>
    </row>
    <row r="558" spans="3:17" ht="15" x14ac:dyDescent="0.25">
      <c r="C558" s="2"/>
      <c r="D558" s="53"/>
      <c r="E558" s="53"/>
      <c r="F558" s="53"/>
      <c r="G558" s="53"/>
      <c r="H558" s="53"/>
      <c r="I558" s="53"/>
      <c r="J558" s="54"/>
      <c r="K558" s="54"/>
      <c r="L558" s="47"/>
      <c r="M558" s="47"/>
      <c r="N558" s="47"/>
      <c r="O558" s="47"/>
      <c r="P558" s="54"/>
      <c r="Q558" s="48"/>
    </row>
    <row r="559" spans="3:17" ht="15" x14ac:dyDescent="0.25">
      <c r="C559" s="2"/>
      <c r="D559" s="53"/>
      <c r="E559" s="53"/>
      <c r="F559" s="53"/>
      <c r="G559" s="53"/>
      <c r="H559" s="53"/>
      <c r="I559" s="53"/>
      <c r="J559" s="54"/>
      <c r="K559" s="54"/>
      <c r="L559" s="47"/>
      <c r="M559" s="47"/>
      <c r="N559" s="47"/>
      <c r="O559" s="47"/>
      <c r="P559" s="54"/>
      <c r="Q559" s="48"/>
    </row>
    <row r="560" spans="3:17" ht="15" x14ac:dyDescent="0.25">
      <c r="C560" s="2"/>
      <c r="D560" s="53"/>
      <c r="E560" s="53"/>
      <c r="F560" s="53"/>
      <c r="G560" s="53"/>
      <c r="H560" s="53"/>
      <c r="I560" s="53"/>
      <c r="J560" s="54"/>
      <c r="K560" s="54"/>
      <c r="L560" s="47"/>
      <c r="M560" s="47"/>
      <c r="N560" s="47"/>
      <c r="O560" s="47"/>
      <c r="P560" s="54"/>
      <c r="Q560" s="48"/>
    </row>
    <row r="561" spans="3:17" ht="15" x14ac:dyDescent="0.25">
      <c r="C561" s="2"/>
      <c r="D561" s="53"/>
      <c r="E561" s="53"/>
      <c r="F561" s="53"/>
      <c r="G561" s="53"/>
      <c r="H561" s="53"/>
      <c r="I561" s="53"/>
      <c r="J561" s="54"/>
      <c r="K561" s="54"/>
      <c r="L561" s="47"/>
      <c r="M561" s="47"/>
      <c r="N561" s="47"/>
      <c r="O561" s="47"/>
      <c r="P561" s="54"/>
      <c r="Q561" s="48"/>
    </row>
    <row r="562" spans="3:17" ht="15" x14ac:dyDescent="0.25">
      <c r="C562" s="2"/>
      <c r="D562" s="53"/>
      <c r="E562" s="53"/>
      <c r="F562" s="53"/>
      <c r="G562" s="53"/>
      <c r="H562" s="53"/>
      <c r="I562" s="53"/>
      <c r="J562" s="54"/>
      <c r="K562" s="54"/>
      <c r="L562" s="47"/>
      <c r="M562" s="47"/>
      <c r="N562" s="47"/>
      <c r="O562" s="47"/>
      <c r="P562" s="54"/>
      <c r="Q562" s="48"/>
    </row>
    <row r="563" spans="3:17" ht="15" x14ac:dyDescent="0.25">
      <c r="C563" s="2"/>
      <c r="D563" s="53"/>
      <c r="E563" s="53"/>
      <c r="F563" s="53"/>
      <c r="G563" s="53"/>
      <c r="H563" s="53"/>
      <c r="I563" s="53"/>
      <c r="J563" s="54"/>
      <c r="K563" s="54"/>
      <c r="L563" s="47"/>
      <c r="M563" s="47"/>
      <c r="N563" s="47"/>
      <c r="O563" s="47"/>
      <c r="P563" s="54"/>
      <c r="Q563" s="48"/>
    </row>
    <row r="564" spans="3:17" ht="15" x14ac:dyDescent="0.25">
      <c r="C564" s="2"/>
      <c r="D564" s="53"/>
      <c r="E564" s="53"/>
      <c r="F564" s="53"/>
      <c r="G564" s="53"/>
      <c r="H564" s="53"/>
      <c r="I564" s="53"/>
      <c r="J564" s="54"/>
      <c r="K564" s="54"/>
      <c r="L564" s="47"/>
      <c r="M564" s="47"/>
      <c r="N564" s="47"/>
      <c r="O564" s="47"/>
      <c r="P564" s="54"/>
      <c r="Q564" s="48"/>
    </row>
    <row r="565" spans="3:17" ht="15" x14ac:dyDescent="0.25">
      <c r="C565" s="2"/>
      <c r="D565" s="53"/>
      <c r="E565" s="53"/>
      <c r="F565" s="53"/>
      <c r="G565" s="53"/>
      <c r="H565" s="53"/>
      <c r="I565" s="53"/>
      <c r="J565" s="54"/>
      <c r="K565" s="54"/>
      <c r="L565" s="47"/>
      <c r="M565" s="47"/>
      <c r="N565" s="47"/>
      <c r="O565" s="47"/>
      <c r="P565" s="54"/>
      <c r="Q565" s="48"/>
    </row>
    <row r="566" spans="3:17" ht="15" x14ac:dyDescent="0.25">
      <c r="C566" s="2"/>
      <c r="D566" s="53"/>
      <c r="E566" s="53"/>
      <c r="F566" s="53"/>
      <c r="G566" s="53"/>
      <c r="H566" s="53"/>
      <c r="I566" s="53"/>
      <c r="J566" s="54"/>
      <c r="K566" s="54"/>
      <c r="L566" s="47"/>
      <c r="M566" s="47"/>
      <c r="N566" s="47"/>
      <c r="O566" s="47"/>
      <c r="P566" s="54"/>
      <c r="Q566" s="48"/>
    </row>
    <row r="567" spans="3:17" ht="15" x14ac:dyDescent="0.25">
      <c r="C567" s="2"/>
      <c r="D567" s="53"/>
      <c r="E567" s="53"/>
      <c r="F567" s="53"/>
      <c r="G567" s="53"/>
      <c r="H567" s="53"/>
      <c r="I567" s="53"/>
      <c r="J567" s="54"/>
      <c r="K567" s="54"/>
      <c r="L567" s="47"/>
      <c r="M567" s="47"/>
      <c r="N567" s="47"/>
      <c r="O567" s="47"/>
      <c r="P567" s="54"/>
      <c r="Q567" s="48"/>
    </row>
    <row r="568" spans="3:17" ht="15" x14ac:dyDescent="0.25">
      <c r="C568" s="2"/>
      <c r="D568" s="53"/>
      <c r="E568" s="53"/>
      <c r="F568" s="53"/>
      <c r="G568" s="53"/>
      <c r="H568" s="53"/>
      <c r="I568" s="53"/>
      <c r="J568" s="54"/>
      <c r="K568" s="54"/>
      <c r="L568" s="47"/>
      <c r="M568" s="47"/>
      <c r="N568" s="47"/>
      <c r="O568" s="47"/>
      <c r="P568" s="54"/>
      <c r="Q568" s="48"/>
    </row>
    <row r="569" spans="3:17" ht="15" x14ac:dyDescent="0.25">
      <c r="C569" s="2"/>
      <c r="D569" s="53"/>
      <c r="E569" s="53"/>
      <c r="F569" s="53"/>
      <c r="G569" s="53"/>
      <c r="H569" s="53"/>
      <c r="I569" s="53"/>
      <c r="J569" s="54"/>
      <c r="K569" s="54"/>
      <c r="L569" s="47"/>
      <c r="M569" s="47"/>
      <c r="N569" s="47"/>
      <c r="O569" s="47"/>
      <c r="P569" s="54"/>
      <c r="Q569" s="48"/>
    </row>
    <row r="570" spans="3:17" ht="15" x14ac:dyDescent="0.25">
      <c r="C570" s="2"/>
      <c r="D570" s="53"/>
      <c r="E570" s="53"/>
      <c r="F570" s="53"/>
      <c r="G570" s="53"/>
      <c r="H570" s="53"/>
      <c r="I570" s="53"/>
      <c r="J570" s="54"/>
      <c r="K570" s="54"/>
      <c r="L570" s="47"/>
      <c r="M570" s="47"/>
      <c r="N570" s="47"/>
      <c r="O570" s="47"/>
      <c r="P570" s="54"/>
      <c r="Q570" s="48"/>
    </row>
    <row r="571" spans="3:17" ht="15" x14ac:dyDescent="0.25">
      <c r="C571" s="2"/>
      <c r="D571" s="53"/>
      <c r="E571" s="53"/>
      <c r="F571" s="53"/>
      <c r="G571" s="53"/>
      <c r="H571" s="53"/>
      <c r="I571" s="53"/>
      <c r="J571" s="54"/>
      <c r="K571" s="54"/>
      <c r="L571" s="47"/>
      <c r="M571" s="47"/>
      <c r="N571" s="47"/>
      <c r="O571" s="47"/>
      <c r="P571" s="54"/>
      <c r="Q571" s="48"/>
    </row>
    <row r="572" spans="3:17" ht="15" x14ac:dyDescent="0.25">
      <c r="C572" s="2"/>
      <c r="D572" s="53"/>
      <c r="E572" s="53"/>
      <c r="F572" s="53"/>
      <c r="G572" s="53"/>
      <c r="H572" s="53"/>
      <c r="I572" s="53"/>
      <c r="J572" s="54"/>
      <c r="K572" s="54"/>
      <c r="L572" s="47"/>
      <c r="M572" s="47"/>
      <c r="N572" s="47"/>
      <c r="O572" s="47"/>
      <c r="P572" s="54"/>
      <c r="Q572" s="48"/>
    </row>
    <row r="573" spans="3:17" ht="15" x14ac:dyDescent="0.25">
      <c r="C573" s="2"/>
      <c r="D573" s="53"/>
      <c r="E573" s="53"/>
      <c r="F573" s="53"/>
      <c r="G573" s="53"/>
      <c r="H573" s="53"/>
      <c r="I573" s="53"/>
      <c r="J573" s="54"/>
      <c r="K573" s="54"/>
      <c r="L573" s="47"/>
      <c r="M573" s="47"/>
      <c r="N573" s="47"/>
      <c r="O573" s="47"/>
      <c r="P573" s="54"/>
      <c r="Q573" s="48"/>
    </row>
    <row r="574" spans="3:17" ht="15" x14ac:dyDescent="0.25">
      <c r="C574" s="2"/>
      <c r="D574" s="53"/>
      <c r="E574" s="53"/>
      <c r="F574" s="53"/>
      <c r="G574" s="53"/>
      <c r="H574" s="53"/>
      <c r="I574" s="53"/>
      <c r="J574" s="54"/>
      <c r="K574" s="54"/>
      <c r="L574" s="47"/>
      <c r="M574" s="47"/>
      <c r="N574" s="47"/>
      <c r="O574" s="47"/>
      <c r="P574" s="54"/>
      <c r="Q574" s="48"/>
    </row>
    <row r="575" spans="3:17" ht="15" x14ac:dyDescent="0.25">
      <c r="C575" s="2"/>
      <c r="D575" s="53"/>
      <c r="E575" s="53"/>
      <c r="F575" s="53"/>
      <c r="G575" s="53"/>
      <c r="H575" s="53"/>
      <c r="I575" s="53"/>
      <c r="J575" s="54"/>
      <c r="K575" s="54"/>
      <c r="L575" s="47"/>
      <c r="M575" s="47"/>
      <c r="N575" s="47"/>
      <c r="O575" s="47"/>
      <c r="P575" s="54"/>
      <c r="Q575" s="48"/>
    </row>
    <row r="576" spans="3:17" ht="15" x14ac:dyDescent="0.25">
      <c r="C576" s="2"/>
      <c r="D576" s="53"/>
      <c r="E576" s="53"/>
      <c r="F576" s="53"/>
      <c r="G576" s="53"/>
      <c r="H576" s="53"/>
      <c r="I576" s="53"/>
      <c r="J576" s="54"/>
      <c r="K576" s="54"/>
      <c r="L576" s="47"/>
      <c r="M576" s="47"/>
      <c r="N576" s="47"/>
      <c r="O576" s="47"/>
      <c r="P576" s="54"/>
      <c r="Q576" s="48"/>
    </row>
    <row r="577" spans="3:17" ht="15" x14ac:dyDescent="0.25">
      <c r="C577" s="2"/>
      <c r="D577" s="53"/>
      <c r="E577" s="53"/>
      <c r="F577" s="53"/>
      <c r="G577" s="53"/>
      <c r="H577" s="53"/>
      <c r="I577" s="53"/>
      <c r="J577" s="54"/>
      <c r="K577" s="54"/>
      <c r="L577" s="47"/>
      <c r="M577" s="47"/>
      <c r="N577" s="47"/>
      <c r="O577" s="47"/>
      <c r="P577" s="54"/>
      <c r="Q577" s="48"/>
    </row>
    <row r="578" spans="3:17" x14ac:dyDescent="0.2">
      <c r="C578" s="3"/>
      <c r="D578" s="16"/>
      <c r="E578" s="16"/>
      <c r="F578" s="16"/>
      <c r="G578" s="16"/>
      <c r="H578" s="16"/>
      <c r="I578" s="16"/>
      <c r="L578" s="52"/>
      <c r="M578" s="52"/>
      <c r="N578" s="52"/>
      <c r="O578" s="52"/>
      <c r="P578" s="52"/>
      <c r="Q578" s="52"/>
    </row>
    <row r="579" spans="3:17" x14ac:dyDescent="0.2">
      <c r="C579" s="3"/>
      <c r="D579" s="16"/>
      <c r="E579" s="16"/>
      <c r="F579" s="16"/>
      <c r="G579" s="16"/>
      <c r="H579" s="16"/>
      <c r="I579" s="16"/>
      <c r="L579" s="52"/>
      <c r="M579" s="52"/>
      <c r="N579" s="52"/>
      <c r="O579" s="52"/>
      <c r="P579" s="52"/>
      <c r="Q579" s="52"/>
    </row>
    <row r="581" spans="3:17" ht="15" x14ac:dyDescent="0.25">
      <c r="C581" s="2"/>
      <c r="D581" s="53"/>
      <c r="E581" s="53"/>
      <c r="F581" s="53"/>
      <c r="G581" s="53"/>
      <c r="H581" s="53"/>
      <c r="I581" s="53"/>
      <c r="J581" s="54"/>
      <c r="K581" s="54"/>
      <c r="L581" s="47"/>
      <c r="M581" s="47"/>
      <c r="N581" s="47"/>
      <c r="O581" s="47"/>
      <c r="P581" s="54"/>
      <c r="Q581" s="48"/>
    </row>
    <row r="582" spans="3:17" ht="15" x14ac:dyDescent="0.25">
      <c r="C582" s="2"/>
      <c r="D582" s="53"/>
      <c r="E582" s="53"/>
      <c r="F582" s="53"/>
      <c r="G582" s="53"/>
      <c r="H582" s="53"/>
      <c r="I582" s="53"/>
      <c r="J582" s="54"/>
      <c r="K582" s="54"/>
      <c r="L582" s="47"/>
      <c r="M582" s="47"/>
      <c r="N582" s="47"/>
      <c r="O582" s="47"/>
      <c r="P582" s="54"/>
      <c r="Q582" s="48"/>
    </row>
    <row r="583" spans="3:17" ht="15" x14ac:dyDescent="0.25">
      <c r="C583" s="2"/>
      <c r="D583" s="53"/>
      <c r="E583" s="53"/>
      <c r="F583" s="53"/>
      <c r="G583" s="53"/>
      <c r="H583" s="53"/>
      <c r="I583" s="53"/>
      <c r="J583" s="54"/>
      <c r="K583" s="54"/>
      <c r="L583" s="47"/>
      <c r="M583" s="47"/>
      <c r="N583" s="47"/>
      <c r="O583" s="47"/>
      <c r="P583" s="54"/>
      <c r="Q583" s="48"/>
    </row>
    <row r="584" spans="3:17" ht="15" x14ac:dyDescent="0.25">
      <c r="C584" s="2"/>
      <c r="D584" s="53"/>
      <c r="E584" s="53"/>
      <c r="F584" s="53"/>
      <c r="G584" s="53"/>
      <c r="H584" s="53"/>
      <c r="I584" s="53"/>
      <c r="J584" s="54"/>
      <c r="K584" s="54"/>
      <c r="L584" s="47"/>
      <c r="M584" s="47"/>
      <c r="N584" s="47"/>
      <c r="O584" s="47"/>
      <c r="P584" s="54"/>
      <c r="Q584" s="48"/>
    </row>
    <row r="585" spans="3:17" ht="15" x14ac:dyDescent="0.25">
      <c r="C585" s="2"/>
      <c r="D585" s="53"/>
      <c r="E585" s="53"/>
      <c r="F585" s="53"/>
      <c r="G585" s="53"/>
      <c r="H585" s="53"/>
      <c r="I585" s="53"/>
      <c r="J585" s="54"/>
      <c r="K585" s="54"/>
      <c r="L585" s="47"/>
      <c r="M585" s="47"/>
      <c r="N585" s="47"/>
      <c r="O585" s="47"/>
      <c r="P585" s="54"/>
      <c r="Q585" s="48"/>
    </row>
    <row r="586" spans="3:17" ht="15" x14ac:dyDescent="0.25">
      <c r="C586" s="2"/>
      <c r="D586" s="53"/>
      <c r="E586" s="53"/>
      <c r="F586" s="53"/>
      <c r="G586" s="53"/>
      <c r="H586" s="53"/>
      <c r="I586" s="53"/>
      <c r="J586" s="54"/>
      <c r="K586" s="54"/>
      <c r="L586" s="47"/>
      <c r="M586" s="47"/>
      <c r="N586" s="47"/>
      <c r="O586" s="47"/>
      <c r="P586" s="54"/>
      <c r="Q586" s="48"/>
    </row>
    <row r="587" spans="3:17" ht="15" x14ac:dyDescent="0.25">
      <c r="C587" s="2"/>
      <c r="D587" s="53"/>
      <c r="E587" s="53"/>
      <c r="F587" s="53"/>
      <c r="G587" s="53"/>
      <c r="H587" s="53"/>
      <c r="I587" s="53"/>
      <c r="J587" s="54"/>
      <c r="K587" s="54"/>
      <c r="L587" s="47"/>
      <c r="M587" s="47"/>
      <c r="N587" s="47"/>
      <c r="O587" s="47"/>
      <c r="P587" s="54"/>
      <c r="Q587" s="48"/>
    </row>
    <row r="588" spans="3:17" ht="15" x14ac:dyDescent="0.25">
      <c r="C588" s="2"/>
      <c r="D588" s="53"/>
      <c r="E588" s="53"/>
      <c r="F588" s="53"/>
      <c r="G588" s="53"/>
      <c r="H588" s="53"/>
      <c r="I588" s="53"/>
      <c r="J588" s="54"/>
      <c r="K588" s="54"/>
      <c r="L588" s="47"/>
      <c r="M588" s="47"/>
      <c r="N588" s="47"/>
      <c r="O588" s="47"/>
      <c r="P588" s="54"/>
      <c r="Q588" s="48"/>
    </row>
    <row r="589" spans="3:17" ht="15" x14ac:dyDescent="0.25">
      <c r="C589" s="2"/>
      <c r="D589" s="53"/>
      <c r="E589" s="53"/>
      <c r="F589" s="53"/>
      <c r="G589" s="53"/>
      <c r="H589" s="53"/>
      <c r="I589" s="53"/>
      <c r="J589" s="54"/>
      <c r="K589" s="54"/>
      <c r="L589" s="47"/>
      <c r="M589" s="47"/>
      <c r="N589" s="47"/>
      <c r="O589" s="47"/>
      <c r="P589" s="54"/>
      <c r="Q589" s="48"/>
    </row>
    <row r="590" spans="3:17" ht="15" x14ac:dyDescent="0.25">
      <c r="C590" s="2"/>
      <c r="D590" s="53"/>
      <c r="E590" s="53"/>
      <c r="F590" s="53"/>
      <c r="G590" s="53"/>
      <c r="H590" s="53"/>
      <c r="I590" s="53"/>
      <c r="J590" s="54"/>
      <c r="K590" s="54"/>
      <c r="L590" s="47"/>
      <c r="M590" s="47"/>
      <c r="N590" s="47"/>
      <c r="O590" s="47"/>
      <c r="P590" s="54"/>
      <c r="Q590" s="48"/>
    </row>
    <row r="591" spans="3:17" ht="15" x14ac:dyDescent="0.25">
      <c r="C591" s="2"/>
      <c r="D591" s="53"/>
      <c r="E591" s="53"/>
      <c r="F591" s="53"/>
      <c r="G591" s="53"/>
      <c r="H591" s="53"/>
      <c r="I591" s="53"/>
      <c r="J591" s="54"/>
      <c r="K591" s="54"/>
      <c r="L591" s="47"/>
      <c r="M591" s="47"/>
      <c r="N591" s="47"/>
      <c r="O591" s="47"/>
      <c r="P591" s="54"/>
      <c r="Q591" s="48"/>
    </row>
    <row r="592" spans="3:17" ht="15" x14ac:dyDescent="0.25">
      <c r="C592" s="2"/>
      <c r="D592" s="53"/>
      <c r="E592" s="53"/>
      <c r="F592" s="53"/>
      <c r="G592" s="53"/>
      <c r="H592" s="53"/>
      <c r="I592" s="53"/>
      <c r="J592" s="54"/>
      <c r="K592" s="54"/>
      <c r="L592" s="47"/>
      <c r="M592" s="47"/>
      <c r="N592" s="47"/>
      <c r="O592" s="47"/>
      <c r="P592" s="54"/>
      <c r="Q592" s="48"/>
    </row>
    <row r="593" spans="3:17" ht="15" x14ac:dyDescent="0.25">
      <c r="C593" s="2"/>
      <c r="D593" s="53"/>
      <c r="E593" s="53"/>
      <c r="F593" s="53"/>
      <c r="G593" s="53"/>
      <c r="H593" s="53"/>
      <c r="I593" s="53"/>
      <c r="J593" s="54"/>
      <c r="K593" s="54"/>
      <c r="L593" s="47"/>
      <c r="M593" s="47"/>
      <c r="N593" s="47"/>
      <c r="O593" s="47"/>
      <c r="P593" s="54"/>
      <c r="Q593" s="48"/>
    </row>
    <row r="594" spans="3:17" ht="15" x14ac:dyDescent="0.25">
      <c r="C594" s="2"/>
      <c r="D594" s="53"/>
      <c r="E594" s="53"/>
      <c r="F594" s="53"/>
      <c r="G594" s="53"/>
      <c r="H594" s="53"/>
      <c r="I594" s="53"/>
      <c r="J594" s="54"/>
      <c r="K594" s="54"/>
      <c r="L594" s="47"/>
      <c r="M594" s="47"/>
      <c r="N594" s="47"/>
      <c r="O594" s="47"/>
      <c r="P594" s="54"/>
      <c r="Q594" s="48"/>
    </row>
    <row r="595" spans="3:17" ht="15" x14ac:dyDescent="0.25">
      <c r="C595" s="2"/>
      <c r="D595" s="53"/>
      <c r="E595" s="53"/>
      <c r="F595" s="53"/>
      <c r="G595" s="53"/>
      <c r="H595" s="53"/>
      <c r="I595" s="53"/>
      <c r="J595" s="54"/>
      <c r="K595" s="54"/>
      <c r="L595" s="47"/>
      <c r="M595" s="47"/>
      <c r="N595" s="47"/>
      <c r="O595" s="47"/>
      <c r="P595" s="54"/>
      <c r="Q595" s="48"/>
    </row>
    <row r="596" spans="3:17" ht="15" x14ac:dyDescent="0.25">
      <c r="C596" s="2"/>
      <c r="D596" s="53"/>
      <c r="E596" s="53"/>
      <c r="F596" s="53"/>
      <c r="G596" s="53"/>
      <c r="H596" s="53"/>
      <c r="I596" s="53"/>
      <c r="J596" s="54"/>
      <c r="K596" s="54"/>
      <c r="L596" s="47"/>
      <c r="M596" s="47"/>
      <c r="N596" s="47"/>
      <c r="O596" s="47"/>
      <c r="P596" s="54"/>
      <c r="Q596" s="48"/>
    </row>
    <row r="597" spans="3:17" ht="15" x14ac:dyDescent="0.25">
      <c r="C597" s="2"/>
      <c r="D597" s="53"/>
      <c r="E597" s="53"/>
      <c r="F597" s="53"/>
      <c r="G597" s="53"/>
      <c r="H597" s="53"/>
      <c r="I597" s="53"/>
      <c r="J597" s="54"/>
      <c r="K597" s="54"/>
      <c r="L597" s="47"/>
      <c r="M597" s="47"/>
      <c r="N597" s="47"/>
      <c r="O597" s="47"/>
      <c r="P597" s="54"/>
      <c r="Q597" s="48"/>
    </row>
    <row r="598" spans="3:17" ht="15" x14ac:dyDescent="0.25">
      <c r="C598" s="2"/>
      <c r="D598" s="53"/>
      <c r="E598" s="53"/>
      <c r="F598" s="53"/>
      <c r="G598" s="53"/>
      <c r="H598" s="53"/>
      <c r="I598" s="53"/>
      <c r="J598" s="54"/>
      <c r="K598" s="54"/>
      <c r="L598" s="47"/>
      <c r="M598" s="47"/>
      <c r="N598" s="47"/>
      <c r="O598" s="47"/>
      <c r="P598" s="54"/>
      <c r="Q598" s="48"/>
    </row>
    <row r="599" spans="3:17" ht="15" x14ac:dyDescent="0.25">
      <c r="C599" s="2"/>
      <c r="D599" s="53"/>
      <c r="E599" s="53"/>
      <c r="F599" s="53"/>
      <c r="G599" s="53"/>
      <c r="H599" s="53"/>
      <c r="I599" s="53"/>
      <c r="J599" s="54"/>
      <c r="K599" s="54"/>
      <c r="L599" s="47"/>
      <c r="M599" s="47"/>
      <c r="N599" s="47"/>
      <c r="O599" s="47"/>
      <c r="P599" s="54"/>
      <c r="Q599" s="48"/>
    </row>
    <row r="600" spans="3:17" ht="15" x14ac:dyDescent="0.25">
      <c r="C600" s="2"/>
      <c r="D600" s="53"/>
      <c r="E600" s="53"/>
      <c r="F600" s="53"/>
      <c r="G600" s="53"/>
      <c r="H600" s="53"/>
      <c r="I600" s="53"/>
      <c r="J600" s="54"/>
      <c r="K600" s="54"/>
      <c r="L600" s="47"/>
      <c r="M600" s="47"/>
      <c r="N600" s="47"/>
      <c r="O600" s="47"/>
      <c r="P600" s="54"/>
      <c r="Q600" s="48"/>
    </row>
    <row r="601" spans="3:17" ht="15" x14ac:dyDescent="0.25">
      <c r="C601" s="2"/>
      <c r="D601" s="53"/>
      <c r="E601" s="53"/>
      <c r="F601" s="53"/>
      <c r="G601" s="53"/>
      <c r="H601" s="53"/>
      <c r="I601" s="53"/>
      <c r="J601" s="54"/>
      <c r="K601" s="54"/>
      <c r="L601" s="47"/>
      <c r="M601" s="47"/>
      <c r="N601" s="47"/>
      <c r="O601" s="47"/>
      <c r="P601" s="54"/>
      <c r="Q601" s="48"/>
    </row>
    <row r="602" spans="3:17" ht="15" x14ac:dyDescent="0.25">
      <c r="C602" s="2"/>
      <c r="D602" s="53"/>
      <c r="E602" s="53"/>
      <c r="F602" s="53"/>
      <c r="G602" s="53"/>
      <c r="H602" s="53"/>
      <c r="I602" s="53"/>
      <c r="J602" s="54"/>
      <c r="K602" s="54"/>
      <c r="L602" s="47"/>
      <c r="M602" s="47"/>
      <c r="N602" s="47"/>
      <c r="O602" s="47"/>
      <c r="P602" s="54"/>
      <c r="Q602" s="48"/>
    </row>
    <row r="603" spans="3:17" ht="15" x14ac:dyDescent="0.25">
      <c r="C603" s="2"/>
      <c r="D603" s="53"/>
      <c r="E603" s="53"/>
      <c r="F603" s="53"/>
      <c r="G603" s="53"/>
      <c r="H603" s="53"/>
      <c r="I603" s="53"/>
      <c r="J603" s="54"/>
      <c r="K603" s="54"/>
      <c r="L603" s="47"/>
      <c r="M603" s="47"/>
      <c r="N603" s="47"/>
      <c r="O603" s="47"/>
      <c r="P603" s="54"/>
      <c r="Q603" s="48"/>
    </row>
    <row r="604" spans="3:17" ht="15" x14ac:dyDescent="0.25">
      <c r="C604" s="2"/>
      <c r="D604" s="53"/>
      <c r="E604" s="53"/>
      <c r="F604" s="53"/>
      <c r="G604" s="53"/>
      <c r="H604" s="53"/>
      <c r="I604" s="53"/>
      <c r="J604" s="54"/>
      <c r="K604" s="54"/>
      <c r="L604" s="47"/>
      <c r="M604" s="47"/>
      <c r="N604" s="47"/>
      <c r="O604" s="47"/>
      <c r="P604" s="54"/>
      <c r="Q604" s="48"/>
    </row>
    <row r="605" spans="3:17" x14ac:dyDescent="0.2">
      <c r="C605" s="3"/>
      <c r="D605" s="16"/>
      <c r="E605" s="16"/>
      <c r="F605" s="16"/>
      <c r="G605" s="16"/>
      <c r="H605" s="16"/>
      <c r="I605" s="16"/>
      <c r="L605" s="52"/>
      <c r="M605" s="52"/>
      <c r="N605" s="52"/>
      <c r="O605" s="52"/>
      <c r="P605" s="52"/>
      <c r="Q605" s="52"/>
    </row>
    <row r="606" spans="3:17" x14ac:dyDescent="0.2">
      <c r="C606" s="3"/>
      <c r="D606" s="16"/>
      <c r="E606" s="16"/>
      <c r="F606" s="16"/>
      <c r="G606" s="16"/>
      <c r="H606" s="16"/>
      <c r="I606" s="16"/>
      <c r="L606" s="52"/>
      <c r="M606" s="52"/>
      <c r="N606" s="52"/>
      <c r="O606" s="52"/>
      <c r="P606" s="52"/>
      <c r="Q606" s="52"/>
    </row>
    <row r="608" spans="3:17" ht="15" x14ac:dyDescent="0.25">
      <c r="C608" s="2"/>
      <c r="D608" s="53"/>
      <c r="E608" s="53"/>
      <c r="F608" s="53"/>
      <c r="G608" s="53"/>
      <c r="H608" s="53"/>
      <c r="I608" s="53"/>
      <c r="J608" s="54"/>
      <c r="K608" s="54"/>
      <c r="L608" s="47"/>
      <c r="M608" s="47"/>
      <c r="N608" s="47"/>
      <c r="O608" s="47"/>
      <c r="P608" s="54"/>
      <c r="Q608" s="48"/>
    </row>
    <row r="609" spans="3:17" ht="15" x14ac:dyDescent="0.25">
      <c r="C609" s="2"/>
      <c r="D609" s="53"/>
      <c r="E609" s="53"/>
      <c r="F609" s="53"/>
      <c r="G609" s="53"/>
      <c r="H609" s="53"/>
      <c r="I609" s="53"/>
      <c r="J609" s="54"/>
      <c r="K609" s="54"/>
      <c r="L609" s="47"/>
      <c r="M609" s="47"/>
      <c r="N609" s="47"/>
      <c r="O609" s="47"/>
      <c r="P609" s="54"/>
      <c r="Q609" s="48"/>
    </row>
    <row r="610" spans="3:17" ht="15" x14ac:dyDescent="0.25">
      <c r="C610" s="2"/>
      <c r="D610" s="53"/>
      <c r="E610" s="53"/>
      <c r="F610" s="53"/>
      <c r="G610" s="53"/>
      <c r="H610" s="53"/>
      <c r="I610" s="53"/>
      <c r="J610" s="54"/>
      <c r="K610" s="54"/>
      <c r="L610" s="47"/>
      <c r="M610" s="47"/>
      <c r="N610" s="47"/>
      <c r="O610" s="47"/>
      <c r="P610" s="54"/>
      <c r="Q610" s="48"/>
    </row>
    <row r="611" spans="3:17" ht="15" x14ac:dyDescent="0.25">
      <c r="C611" s="2"/>
      <c r="D611" s="53"/>
      <c r="E611" s="53"/>
      <c r="F611" s="53"/>
      <c r="G611" s="53"/>
      <c r="H611" s="53"/>
      <c r="I611" s="53"/>
      <c r="J611" s="54"/>
      <c r="K611" s="54"/>
      <c r="L611" s="47"/>
      <c r="M611" s="47"/>
      <c r="N611" s="47"/>
      <c r="O611" s="47"/>
      <c r="P611" s="54"/>
      <c r="Q611" s="48"/>
    </row>
    <row r="612" spans="3:17" ht="15" x14ac:dyDescent="0.25">
      <c r="C612" s="2"/>
      <c r="D612" s="53"/>
      <c r="E612" s="53"/>
      <c r="F612" s="53"/>
      <c r="G612" s="53"/>
      <c r="H612" s="53"/>
      <c r="I612" s="53"/>
      <c r="J612" s="54"/>
      <c r="K612" s="54"/>
      <c r="L612" s="47"/>
      <c r="M612" s="47"/>
      <c r="N612" s="47"/>
      <c r="O612" s="47"/>
      <c r="P612" s="54"/>
      <c r="Q612" s="48"/>
    </row>
    <row r="613" spans="3:17" ht="15" x14ac:dyDescent="0.25">
      <c r="C613" s="2"/>
      <c r="D613" s="53"/>
      <c r="E613" s="53"/>
      <c r="F613" s="53"/>
      <c r="G613" s="53"/>
      <c r="H613" s="53"/>
      <c r="I613" s="53"/>
      <c r="J613" s="54"/>
      <c r="K613" s="54"/>
      <c r="L613" s="47"/>
      <c r="M613" s="47"/>
      <c r="N613" s="47"/>
      <c r="O613" s="47"/>
      <c r="P613" s="54"/>
      <c r="Q613" s="48"/>
    </row>
    <row r="614" spans="3:17" ht="15" x14ac:dyDescent="0.25">
      <c r="C614" s="2"/>
      <c r="D614" s="53"/>
      <c r="E614" s="53"/>
      <c r="F614" s="53"/>
      <c r="G614" s="53"/>
      <c r="H614" s="53"/>
      <c r="I614" s="53"/>
      <c r="J614" s="54"/>
      <c r="K614" s="54"/>
      <c r="L614" s="47"/>
      <c r="M614" s="47"/>
      <c r="N614" s="47"/>
      <c r="O614" s="47"/>
      <c r="P614" s="54"/>
      <c r="Q614" s="48"/>
    </row>
    <row r="615" spans="3:17" ht="15" x14ac:dyDescent="0.25">
      <c r="C615" s="2"/>
      <c r="D615" s="53"/>
      <c r="E615" s="53"/>
      <c r="F615" s="53"/>
      <c r="G615" s="53"/>
      <c r="H615" s="53"/>
      <c r="I615" s="53"/>
      <c r="J615" s="54"/>
      <c r="K615" s="54"/>
      <c r="L615" s="47"/>
      <c r="M615" s="47"/>
      <c r="N615" s="47"/>
      <c r="O615" s="47"/>
      <c r="P615" s="54"/>
      <c r="Q615" s="48"/>
    </row>
    <row r="616" spans="3:17" ht="15" x14ac:dyDescent="0.25">
      <c r="C616" s="2"/>
      <c r="D616" s="53"/>
      <c r="E616" s="53"/>
      <c r="F616" s="53"/>
      <c r="G616" s="53"/>
      <c r="H616" s="53"/>
      <c r="I616" s="53"/>
      <c r="J616" s="54"/>
      <c r="K616" s="54"/>
      <c r="L616" s="47"/>
      <c r="M616" s="47"/>
      <c r="N616" s="47"/>
      <c r="O616" s="47"/>
      <c r="P616" s="54"/>
      <c r="Q616" s="48"/>
    </row>
    <row r="617" spans="3:17" ht="15" x14ac:dyDescent="0.25">
      <c r="C617" s="2"/>
      <c r="D617" s="53"/>
      <c r="E617" s="53"/>
      <c r="F617" s="53"/>
      <c r="G617" s="53"/>
      <c r="H617" s="53"/>
      <c r="I617" s="53"/>
      <c r="J617" s="54"/>
      <c r="K617" s="54"/>
      <c r="L617" s="47"/>
      <c r="M617" s="47"/>
      <c r="N617" s="47"/>
      <c r="O617" s="47"/>
      <c r="P617" s="54"/>
      <c r="Q617" s="48"/>
    </row>
    <row r="618" spans="3:17" ht="15" x14ac:dyDescent="0.25">
      <c r="C618" s="2"/>
      <c r="D618" s="53"/>
      <c r="E618" s="53"/>
      <c r="F618" s="53"/>
      <c r="G618" s="53"/>
      <c r="H618" s="53"/>
      <c r="I618" s="53"/>
      <c r="J618" s="54"/>
      <c r="K618" s="54"/>
      <c r="L618" s="47"/>
      <c r="M618" s="47"/>
      <c r="N618" s="47"/>
      <c r="O618" s="47"/>
      <c r="P618" s="54"/>
      <c r="Q618" s="48"/>
    </row>
    <row r="619" spans="3:17" ht="15" x14ac:dyDescent="0.25">
      <c r="C619" s="2"/>
      <c r="D619" s="53"/>
      <c r="E619" s="53"/>
      <c r="F619" s="53"/>
      <c r="G619" s="53"/>
      <c r="H619" s="53"/>
      <c r="I619" s="53"/>
      <c r="J619" s="54"/>
      <c r="K619" s="54"/>
      <c r="L619" s="47"/>
      <c r="M619" s="47"/>
      <c r="N619" s="47"/>
      <c r="O619" s="47"/>
      <c r="P619" s="54"/>
      <c r="Q619" s="48"/>
    </row>
    <row r="620" spans="3:17" ht="15" x14ac:dyDescent="0.25">
      <c r="C620" s="2"/>
      <c r="D620" s="53"/>
      <c r="E620" s="53"/>
      <c r="F620" s="53"/>
      <c r="G620" s="53"/>
      <c r="H620" s="53"/>
      <c r="I620" s="53"/>
      <c r="J620" s="54"/>
      <c r="K620" s="54"/>
      <c r="L620" s="47"/>
      <c r="M620" s="47"/>
      <c r="N620" s="47"/>
      <c r="O620" s="47"/>
      <c r="P620" s="54"/>
      <c r="Q620" s="48"/>
    </row>
    <row r="621" spans="3:17" ht="15" x14ac:dyDescent="0.25">
      <c r="C621" s="2"/>
      <c r="D621" s="53"/>
      <c r="E621" s="53"/>
      <c r="F621" s="53"/>
      <c r="G621" s="53"/>
      <c r="H621" s="53"/>
      <c r="I621" s="53"/>
      <c r="J621" s="54"/>
      <c r="K621" s="54"/>
      <c r="L621" s="47"/>
      <c r="M621" s="47"/>
      <c r="N621" s="47"/>
      <c r="O621" s="47"/>
      <c r="P621" s="54"/>
      <c r="Q621" s="48"/>
    </row>
    <row r="622" spans="3:17" ht="15" x14ac:dyDescent="0.25">
      <c r="C622" s="2"/>
      <c r="D622" s="53"/>
      <c r="E622" s="53"/>
      <c r="F622" s="53"/>
      <c r="G622" s="53"/>
      <c r="H622" s="53"/>
      <c r="I622" s="53"/>
      <c r="J622" s="54"/>
      <c r="K622" s="54"/>
      <c r="L622" s="47"/>
      <c r="M622" s="47"/>
      <c r="N622" s="47"/>
      <c r="O622" s="47"/>
      <c r="P622" s="54"/>
      <c r="Q622" s="48"/>
    </row>
    <row r="623" spans="3:17" ht="15" x14ac:dyDescent="0.25">
      <c r="C623" s="2"/>
      <c r="D623" s="53"/>
      <c r="E623" s="53"/>
      <c r="F623" s="53"/>
      <c r="G623" s="53"/>
      <c r="H623" s="53"/>
      <c r="I623" s="53"/>
      <c r="J623" s="54"/>
      <c r="K623" s="54"/>
      <c r="L623" s="47"/>
      <c r="M623" s="47"/>
      <c r="N623" s="47"/>
      <c r="O623" s="47"/>
      <c r="P623" s="54"/>
      <c r="Q623" s="48"/>
    </row>
    <row r="624" spans="3:17" ht="15" x14ac:dyDescent="0.25">
      <c r="C624" s="2"/>
      <c r="D624" s="53"/>
      <c r="E624" s="53"/>
      <c r="F624" s="53"/>
      <c r="G624" s="53"/>
      <c r="H624" s="53"/>
      <c r="I624" s="53"/>
      <c r="J624" s="54"/>
      <c r="K624" s="54"/>
      <c r="L624" s="47"/>
      <c r="M624" s="47"/>
      <c r="N624" s="47"/>
      <c r="O624" s="47"/>
      <c r="P624" s="54"/>
      <c r="Q624" s="48"/>
    </row>
    <row r="625" spans="3:17" ht="15" x14ac:dyDescent="0.25">
      <c r="C625" s="2"/>
      <c r="D625" s="53"/>
      <c r="E625" s="53"/>
      <c r="F625" s="53"/>
      <c r="G625" s="53"/>
      <c r="H625" s="53"/>
      <c r="I625" s="53"/>
      <c r="J625" s="54"/>
      <c r="K625" s="54"/>
      <c r="L625" s="47"/>
      <c r="M625" s="47"/>
      <c r="N625" s="47"/>
      <c r="O625" s="47"/>
      <c r="P625" s="54"/>
      <c r="Q625" s="48"/>
    </row>
    <row r="626" spans="3:17" ht="15" x14ac:dyDescent="0.25">
      <c r="C626" s="2"/>
      <c r="D626" s="53"/>
      <c r="E626" s="53"/>
      <c r="F626" s="53"/>
      <c r="G626" s="53"/>
      <c r="H626" s="53"/>
      <c r="I626" s="53"/>
      <c r="J626" s="54"/>
      <c r="K626" s="54"/>
      <c r="L626" s="47"/>
      <c r="M626" s="47"/>
      <c r="N626" s="47"/>
      <c r="O626" s="47"/>
      <c r="P626" s="54"/>
      <c r="Q626" s="48"/>
    </row>
    <row r="627" spans="3:17" ht="15" x14ac:dyDescent="0.25">
      <c r="C627" s="2"/>
      <c r="D627" s="53"/>
      <c r="E627" s="53"/>
      <c r="F627" s="53"/>
      <c r="G627" s="53"/>
      <c r="H627" s="53"/>
      <c r="I627" s="53"/>
      <c r="J627" s="54"/>
      <c r="K627" s="54"/>
      <c r="L627" s="47"/>
      <c r="M627" s="47"/>
      <c r="N627" s="47"/>
      <c r="O627" s="47"/>
      <c r="P627" s="54"/>
      <c r="Q627" s="48"/>
    </row>
    <row r="628" spans="3:17" ht="15" x14ac:dyDescent="0.25">
      <c r="C628" s="2"/>
      <c r="D628" s="53"/>
      <c r="E628" s="53"/>
      <c r="F628" s="53"/>
      <c r="G628" s="53"/>
      <c r="H628" s="53"/>
      <c r="I628" s="53"/>
      <c r="J628" s="54"/>
      <c r="K628" s="54"/>
      <c r="L628" s="47"/>
      <c r="M628" s="47"/>
      <c r="N628" s="47"/>
      <c r="O628" s="47"/>
      <c r="P628" s="54"/>
      <c r="Q628" s="48"/>
    </row>
    <row r="629" spans="3:17" ht="15" x14ac:dyDescent="0.25">
      <c r="C629" s="2"/>
      <c r="D629" s="53"/>
      <c r="E629" s="53"/>
      <c r="F629" s="53"/>
      <c r="G629" s="53"/>
      <c r="H629" s="53"/>
      <c r="I629" s="53"/>
      <c r="J629" s="54"/>
      <c r="K629" s="54"/>
      <c r="L629" s="47"/>
      <c r="M629" s="47"/>
      <c r="N629" s="47"/>
      <c r="O629" s="47"/>
      <c r="P629" s="54"/>
      <c r="Q629" s="48"/>
    </row>
    <row r="630" spans="3:17" ht="15" x14ac:dyDescent="0.25">
      <c r="C630" s="2"/>
      <c r="D630" s="53"/>
      <c r="E630" s="53"/>
      <c r="F630" s="53"/>
      <c r="G630" s="53"/>
      <c r="H630" s="53"/>
      <c r="I630" s="53"/>
      <c r="J630" s="54"/>
      <c r="K630" s="54"/>
      <c r="L630" s="47"/>
      <c r="M630" s="47"/>
      <c r="N630" s="47"/>
      <c r="O630" s="47"/>
      <c r="P630" s="54"/>
      <c r="Q630" s="48"/>
    </row>
    <row r="631" spans="3:17" ht="15" x14ac:dyDescent="0.25">
      <c r="C631" s="2"/>
      <c r="D631" s="53"/>
      <c r="E631" s="53"/>
      <c r="F631" s="53"/>
      <c r="G631" s="53"/>
      <c r="H631" s="53"/>
      <c r="I631" s="53"/>
      <c r="J631" s="54"/>
      <c r="K631" s="54"/>
      <c r="L631" s="47"/>
      <c r="M631" s="47"/>
      <c r="N631" s="47"/>
      <c r="O631" s="47"/>
      <c r="P631" s="54"/>
      <c r="Q631" s="48"/>
    </row>
    <row r="632" spans="3:17" x14ac:dyDescent="0.2">
      <c r="C632" s="3"/>
      <c r="D632" s="16"/>
      <c r="E632" s="16"/>
      <c r="F632" s="16"/>
      <c r="G632" s="16"/>
      <c r="H632" s="16"/>
      <c r="I632" s="16"/>
      <c r="L632" s="52"/>
      <c r="M632" s="52"/>
      <c r="N632" s="52"/>
      <c r="O632" s="52"/>
      <c r="P632" s="52"/>
      <c r="Q632" s="52"/>
    </row>
    <row r="633" spans="3:17" x14ac:dyDescent="0.2">
      <c r="C633" s="3"/>
      <c r="D633" s="16"/>
      <c r="E633" s="16"/>
      <c r="F633" s="16"/>
      <c r="G633" s="16"/>
      <c r="H633" s="16"/>
      <c r="I633" s="16"/>
      <c r="L633" s="52"/>
      <c r="M633" s="52"/>
      <c r="N633" s="52"/>
      <c r="O633" s="52"/>
      <c r="P633" s="52"/>
      <c r="Q633" s="52"/>
    </row>
  </sheetData>
  <mergeCells count="10">
    <mergeCell ref="R1:S1"/>
    <mergeCell ref="T1:U1"/>
    <mergeCell ref="V1:W1"/>
    <mergeCell ref="X1:Y1"/>
    <mergeCell ref="D1:F1"/>
    <mergeCell ref="G1:I1"/>
    <mergeCell ref="J1:K1"/>
    <mergeCell ref="L1:M1"/>
    <mergeCell ref="N1:O1"/>
    <mergeCell ref="P1:Q1"/>
  </mergeCells>
  <phoneticPr fontId="13" type="noConversion"/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C879"/>
  <sheetViews>
    <sheetView zoomScale="80" zoomScaleNormal="80" workbookViewId="0">
      <pane xSplit="3" ySplit="1" topLeftCell="D846" activePane="bottomRight" state="frozen"/>
      <selection pane="topRight" activeCell="D1" sqref="D1"/>
      <selection pane="bottomLeft" activeCell="A2" sqref="A2"/>
      <selection pane="bottomRight" activeCell="Z873" sqref="Z873"/>
    </sheetView>
  </sheetViews>
  <sheetFormatPr defaultRowHeight="12.75" x14ac:dyDescent="0.2"/>
  <cols>
    <col min="1" max="1" width="43.85546875" style="127" bestFit="1" customWidth="1"/>
    <col min="2" max="2" width="45.42578125" style="127" bestFit="1" customWidth="1"/>
    <col min="3" max="28" width="7.28515625" style="127" customWidth="1"/>
    <col min="29" max="16384" width="9.140625" style="127"/>
  </cols>
  <sheetData>
    <row r="1" spans="1:28" s="134" customFormat="1" ht="61.5" customHeight="1" x14ac:dyDescent="0.2">
      <c r="B1" s="135" t="s">
        <v>10</v>
      </c>
      <c r="C1" s="136"/>
      <c r="D1" s="136">
        <v>2023</v>
      </c>
      <c r="E1" s="136">
        <v>2024</v>
      </c>
      <c r="F1" s="136">
        <v>2025</v>
      </c>
      <c r="G1" s="136">
        <v>2026</v>
      </c>
      <c r="H1" s="136">
        <v>2027</v>
      </c>
      <c r="I1" s="136">
        <v>2028</v>
      </c>
      <c r="J1" s="136">
        <v>2029</v>
      </c>
      <c r="K1" s="136">
        <v>2030</v>
      </c>
      <c r="L1" s="136">
        <v>2031</v>
      </c>
      <c r="M1" s="136">
        <v>2032</v>
      </c>
      <c r="N1" s="136">
        <v>2033</v>
      </c>
      <c r="O1" s="136">
        <v>2034</v>
      </c>
      <c r="P1" s="136">
        <v>2035</v>
      </c>
      <c r="Q1" s="136">
        <v>2036</v>
      </c>
      <c r="R1" s="136">
        <v>2037</v>
      </c>
      <c r="S1" s="136">
        <v>2038</v>
      </c>
      <c r="T1" s="136">
        <v>2039</v>
      </c>
      <c r="U1" s="136">
        <v>2040</v>
      </c>
      <c r="V1" s="136">
        <v>2041</v>
      </c>
      <c r="W1" s="136">
        <v>2042</v>
      </c>
      <c r="X1" s="136">
        <v>2043</v>
      </c>
      <c r="Y1" s="136">
        <v>2044</v>
      </c>
      <c r="Z1" s="136">
        <v>2045</v>
      </c>
      <c r="AB1" s="137" t="s">
        <v>4</v>
      </c>
    </row>
    <row r="2" spans="1:28" x14ac:dyDescent="0.2">
      <c r="B2" s="132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8" x14ac:dyDescent="0.2">
      <c r="A3" s="127" t="str">
        <f>'Scenario List'!$A$3</f>
        <v>1- Preferred Resource Strategy</v>
      </c>
      <c r="B3" s="131" t="s">
        <v>11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</row>
    <row r="4" spans="1:28" x14ac:dyDescent="0.2">
      <c r="A4" s="127" t="str">
        <f>'Scenario List'!$A$3</f>
        <v>1- Preferred Resource Strategy</v>
      </c>
      <c r="B4" s="128" t="s">
        <v>12</v>
      </c>
      <c r="C4" s="139"/>
      <c r="D4" s="139">
        <v>0</v>
      </c>
      <c r="E4" s="139">
        <v>0</v>
      </c>
      <c r="F4" s="139">
        <v>0</v>
      </c>
      <c r="G4" s="139">
        <v>0</v>
      </c>
      <c r="H4" s="139">
        <v>0</v>
      </c>
      <c r="I4" s="139">
        <v>0</v>
      </c>
      <c r="J4" s="139">
        <v>0</v>
      </c>
      <c r="K4" s="139">
        <v>0</v>
      </c>
      <c r="L4" s="139">
        <v>0</v>
      </c>
      <c r="M4" s="139">
        <v>0</v>
      </c>
      <c r="N4" s="139">
        <v>0</v>
      </c>
      <c r="O4" s="139">
        <v>0</v>
      </c>
      <c r="P4" s="139">
        <v>0</v>
      </c>
      <c r="Q4" s="139">
        <v>0</v>
      </c>
      <c r="R4" s="139">
        <v>0</v>
      </c>
      <c r="S4" s="139">
        <v>0</v>
      </c>
      <c r="T4" s="139">
        <v>0</v>
      </c>
      <c r="U4" s="139">
        <v>0</v>
      </c>
      <c r="V4" s="139">
        <v>0</v>
      </c>
      <c r="W4" s="139">
        <v>0</v>
      </c>
      <c r="X4" s="139">
        <v>0</v>
      </c>
      <c r="Y4" s="139">
        <v>0</v>
      </c>
      <c r="Z4" s="139">
        <v>0</v>
      </c>
      <c r="AA4" s="139"/>
      <c r="AB4" s="139">
        <f>SUM(C4:Z4)</f>
        <v>0</v>
      </c>
    </row>
    <row r="5" spans="1:28" x14ac:dyDescent="0.2">
      <c r="A5" s="127" t="str">
        <f>'Scenario List'!$A$3</f>
        <v>1- Preferred Resource Strategy</v>
      </c>
      <c r="B5" s="128" t="s">
        <v>13</v>
      </c>
      <c r="C5" s="139"/>
      <c r="D5" s="139">
        <v>0</v>
      </c>
      <c r="E5" s="139">
        <v>0</v>
      </c>
      <c r="F5" s="139">
        <v>0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0</v>
      </c>
      <c r="N5" s="139">
        <v>0</v>
      </c>
      <c r="O5" s="139">
        <v>0</v>
      </c>
      <c r="P5" s="139">
        <v>0</v>
      </c>
      <c r="Q5" s="139">
        <v>0</v>
      </c>
      <c r="R5" s="139">
        <v>0</v>
      </c>
      <c r="S5" s="139">
        <v>0</v>
      </c>
      <c r="T5" s="139">
        <v>0</v>
      </c>
      <c r="U5" s="139">
        <v>0</v>
      </c>
      <c r="V5" s="139">
        <v>0</v>
      </c>
      <c r="W5" s="139">
        <v>0</v>
      </c>
      <c r="X5" s="139">
        <v>0</v>
      </c>
      <c r="Y5" s="139">
        <v>0</v>
      </c>
      <c r="Z5" s="139">
        <v>0</v>
      </c>
      <c r="AA5" s="139"/>
      <c r="AB5" s="139">
        <f t="shared" ref="AB5:AB11" si="0">SUM(C5:Z5)</f>
        <v>0</v>
      </c>
    </row>
    <row r="6" spans="1:28" x14ac:dyDescent="0.2">
      <c r="A6" s="127" t="str">
        <f>'Scenario List'!$A$3</f>
        <v>1- Preferred Resource Strategy</v>
      </c>
      <c r="B6" s="128" t="s">
        <v>14</v>
      </c>
      <c r="C6" s="139"/>
      <c r="D6" s="139">
        <v>0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0</v>
      </c>
      <c r="R6" s="139">
        <v>0</v>
      </c>
      <c r="S6" s="139">
        <v>0</v>
      </c>
      <c r="T6" s="139">
        <v>0</v>
      </c>
      <c r="U6" s="139">
        <v>0</v>
      </c>
      <c r="V6" s="139">
        <v>0</v>
      </c>
      <c r="W6" s="139">
        <v>0</v>
      </c>
      <c r="X6" s="139">
        <v>0</v>
      </c>
      <c r="Y6" s="139">
        <v>0</v>
      </c>
      <c r="Z6" s="139">
        <v>0</v>
      </c>
      <c r="AA6" s="139"/>
      <c r="AB6" s="139">
        <f t="shared" si="0"/>
        <v>0</v>
      </c>
    </row>
    <row r="7" spans="1:28" x14ac:dyDescent="0.2">
      <c r="A7" s="127" t="str">
        <f>'Scenario List'!$A$3</f>
        <v>1- Preferred Resource Strategy</v>
      </c>
      <c r="B7" s="128" t="s">
        <v>15</v>
      </c>
      <c r="C7" s="139"/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39">
        <v>0</v>
      </c>
      <c r="W7" s="139">
        <v>0</v>
      </c>
      <c r="X7" s="139">
        <v>0</v>
      </c>
      <c r="Y7" s="139">
        <v>0</v>
      </c>
      <c r="Z7" s="139">
        <v>0</v>
      </c>
      <c r="AA7" s="139"/>
      <c r="AB7" s="139">
        <f t="shared" si="0"/>
        <v>0</v>
      </c>
    </row>
    <row r="8" spans="1:28" x14ac:dyDescent="0.2">
      <c r="A8" s="127" t="str">
        <f>'Scenario List'!$A$3</f>
        <v>1- Preferred Resource Strategy</v>
      </c>
      <c r="B8" s="128" t="s">
        <v>16</v>
      </c>
      <c r="C8" s="139"/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39">
        <v>0</v>
      </c>
      <c r="W8" s="139">
        <v>0</v>
      </c>
      <c r="X8" s="139">
        <v>67.683420241013579</v>
      </c>
      <c r="Y8" s="139">
        <v>50.083286219092273</v>
      </c>
      <c r="Z8" s="139">
        <v>0</v>
      </c>
      <c r="AA8" s="139"/>
      <c r="AB8" s="139">
        <f t="shared" si="0"/>
        <v>117.76670646010585</v>
      </c>
    </row>
    <row r="9" spans="1:28" x14ac:dyDescent="0.2">
      <c r="A9" s="127" t="str">
        <f>'Scenario List'!$A$3</f>
        <v>1- Preferred Resource Strategy</v>
      </c>
      <c r="B9" s="128" t="s">
        <v>85</v>
      </c>
      <c r="C9" s="139"/>
      <c r="D9" s="139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0</v>
      </c>
      <c r="Y9" s="139">
        <v>0</v>
      </c>
      <c r="Z9" s="139">
        <v>0</v>
      </c>
      <c r="AA9" s="139"/>
      <c r="AB9" s="139">
        <f t="shared" si="0"/>
        <v>0</v>
      </c>
    </row>
    <row r="10" spans="1:28" x14ac:dyDescent="0.2">
      <c r="A10" s="127" t="str">
        <f>'Scenario List'!$A$3</f>
        <v>1- Preferred Resource Strategy</v>
      </c>
      <c r="B10" s="128" t="s">
        <v>86</v>
      </c>
      <c r="C10" s="139"/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/>
      <c r="AB10" s="139">
        <f t="shared" si="0"/>
        <v>0</v>
      </c>
    </row>
    <row r="11" spans="1:28" x14ac:dyDescent="0.2">
      <c r="A11" s="127" t="str">
        <f>'Scenario List'!$A$3</f>
        <v>1- Preferred Resource Strategy</v>
      </c>
      <c r="B11" s="128" t="s">
        <v>87</v>
      </c>
      <c r="C11" s="139"/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/>
      <c r="AB11" s="139">
        <f t="shared" si="0"/>
        <v>0</v>
      </c>
    </row>
    <row r="12" spans="1:28" x14ac:dyDescent="0.2">
      <c r="A12" s="127" t="str">
        <f>'Scenario List'!$A$3</f>
        <v>1- Preferred Resource Strategy</v>
      </c>
      <c r="B12" s="128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</row>
    <row r="13" spans="1:28" x14ac:dyDescent="0.2">
      <c r="A13" s="127" t="str">
        <f>'Scenario List'!$A$3</f>
        <v>1- Preferred Resource Strategy</v>
      </c>
      <c r="B13" s="12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</row>
    <row r="14" spans="1:28" x14ac:dyDescent="0.2">
      <c r="A14" s="127" t="str">
        <f>'Scenario List'!$A$3</f>
        <v>1- Preferred Resource Strategy</v>
      </c>
      <c r="B14" s="12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</row>
    <row r="15" spans="1:28" x14ac:dyDescent="0.2">
      <c r="A15" s="127" t="str">
        <f>'Scenario List'!$A$3</f>
        <v>1- Preferred Resource Strategy</v>
      </c>
      <c r="B15" s="131" t="s">
        <v>9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</row>
    <row r="16" spans="1:28" x14ac:dyDescent="0.2">
      <c r="A16" s="127" t="str">
        <f>'Scenario List'!$A$3</f>
        <v>1- Preferred Resource Strategy</v>
      </c>
      <c r="B16" s="128" t="s">
        <v>12</v>
      </c>
      <c r="C16" s="139"/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/>
      <c r="AB16" s="139">
        <f t="shared" ref="AB16:AB26" si="1">SUM(C16:Z16)</f>
        <v>0</v>
      </c>
    </row>
    <row r="17" spans="1:28" x14ac:dyDescent="0.2">
      <c r="A17" s="127" t="str">
        <f>'Scenario List'!$A$3</f>
        <v>1- Preferred Resource Strategy</v>
      </c>
      <c r="B17" s="128" t="s">
        <v>13</v>
      </c>
      <c r="C17" s="139"/>
      <c r="D17" s="139">
        <v>0</v>
      </c>
      <c r="E17" s="139">
        <v>0.66473348291362344</v>
      </c>
      <c r="F17" s="139">
        <v>0.68964227723232652</v>
      </c>
      <c r="G17" s="139">
        <v>0.71589898207405422</v>
      </c>
      <c r="H17" s="139">
        <v>0.74474658163446961</v>
      </c>
      <c r="I17" s="139">
        <v>0.7763008982890951</v>
      </c>
      <c r="J17" s="139">
        <v>0.80410589762092943</v>
      </c>
      <c r="K17" s="139">
        <v>0.83083714578533974</v>
      </c>
      <c r="L17" s="139">
        <v>0.86470310660027028</v>
      </c>
      <c r="M17" s="139">
        <v>0.89748888614452094</v>
      </c>
      <c r="N17" s="139">
        <v>0.92585303260081742</v>
      </c>
      <c r="O17" s="139">
        <v>0.14839972706765792</v>
      </c>
      <c r="P17" s="139">
        <v>0.23577152049392455</v>
      </c>
      <c r="Q17" s="139">
        <v>0.24612103031698204</v>
      </c>
      <c r="R17" s="139">
        <v>0.26315725605261558</v>
      </c>
      <c r="S17" s="139">
        <v>0</v>
      </c>
      <c r="T17" s="139">
        <v>0.2</v>
      </c>
      <c r="U17" s="139">
        <v>0.2</v>
      </c>
      <c r="V17" s="139">
        <v>0</v>
      </c>
      <c r="W17" s="139">
        <v>0.27446759269867571</v>
      </c>
      <c r="X17" s="139">
        <v>0</v>
      </c>
      <c r="Y17" s="139">
        <v>0.23612082105058529</v>
      </c>
      <c r="Z17" s="139">
        <v>0</v>
      </c>
      <c r="AA17" s="139"/>
      <c r="AB17" s="139">
        <f t="shared" si="1"/>
        <v>9.718348238575885</v>
      </c>
    </row>
    <row r="18" spans="1:28" x14ac:dyDescent="0.2">
      <c r="A18" s="127" t="str">
        <f>'Scenario List'!$A$3</f>
        <v>1- Preferred Resource Strategy</v>
      </c>
      <c r="B18" s="128" t="s">
        <v>14</v>
      </c>
      <c r="C18" s="139"/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0.1</v>
      </c>
      <c r="U18" s="139">
        <v>0.1</v>
      </c>
      <c r="V18" s="139">
        <v>0</v>
      </c>
      <c r="W18" s="139">
        <v>0</v>
      </c>
      <c r="X18" s="139">
        <v>0</v>
      </c>
      <c r="Y18" s="139">
        <v>0.11806041052529265</v>
      </c>
      <c r="Z18" s="139">
        <v>0</v>
      </c>
      <c r="AA18" s="139"/>
      <c r="AB18" s="139">
        <f t="shared" si="1"/>
        <v>0.31806041052529266</v>
      </c>
    </row>
    <row r="19" spans="1:28" x14ac:dyDescent="0.2">
      <c r="A19" s="127" t="str">
        <f>'Scenario List'!$A$3</f>
        <v>1- Preferred Resource Strategy</v>
      </c>
      <c r="B19" s="128" t="s">
        <v>15</v>
      </c>
      <c r="C19" s="139"/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200</v>
      </c>
      <c r="L19" s="139">
        <v>0</v>
      </c>
      <c r="M19" s="139">
        <v>200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140</v>
      </c>
      <c r="W19" s="139">
        <v>105</v>
      </c>
      <c r="X19" s="139">
        <v>0</v>
      </c>
      <c r="Y19" s="139">
        <v>100</v>
      </c>
      <c r="Z19" s="139">
        <v>199.71812048604244</v>
      </c>
      <c r="AA19" s="139"/>
      <c r="AB19" s="139">
        <f t="shared" si="1"/>
        <v>944.71812048604238</v>
      </c>
    </row>
    <row r="20" spans="1:28" x14ac:dyDescent="0.2">
      <c r="A20" s="127" t="str">
        <f>'Scenario List'!$A$3</f>
        <v>1- Preferred Resource Strategy</v>
      </c>
      <c r="B20" s="128" t="s">
        <v>16</v>
      </c>
      <c r="C20" s="139"/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0.5</v>
      </c>
      <c r="T20" s="139">
        <v>52.126229737121236</v>
      </c>
      <c r="U20" s="139">
        <v>0</v>
      </c>
      <c r="V20" s="139">
        <v>0.5</v>
      </c>
      <c r="W20" s="139">
        <v>0</v>
      </c>
      <c r="X20" s="139">
        <v>0.5</v>
      </c>
      <c r="Y20" s="139">
        <v>0</v>
      </c>
      <c r="Z20" s="139">
        <v>0.5</v>
      </c>
      <c r="AA20" s="139"/>
      <c r="AB20" s="139">
        <f t="shared" si="1"/>
        <v>54.126229737121236</v>
      </c>
    </row>
    <row r="21" spans="1:28" x14ac:dyDescent="0.2">
      <c r="A21" s="127" t="str">
        <f>'Scenario List'!$A$3</f>
        <v>1- Preferred Resource Strategy</v>
      </c>
      <c r="B21" s="128" t="s">
        <v>85</v>
      </c>
      <c r="C21" s="139"/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88.335413861436663</v>
      </c>
      <c r="R21" s="139">
        <v>0</v>
      </c>
      <c r="S21" s="139">
        <v>0</v>
      </c>
      <c r="T21" s="139">
        <v>0</v>
      </c>
      <c r="U21" s="139">
        <v>0</v>
      </c>
      <c r="V21" s="139">
        <v>74</v>
      </c>
      <c r="W21" s="139">
        <v>186.16625428112846</v>
      </c>
      <c r="X21" s="139">
        <v>0</v>
      </c>
      <c r="Y21" s="139">
        <v>0</v>
      </c>
      <c r="Z21" s="139">
        <v>347.98510715460418</v>
      </c>
      <c r="AA21" s="139"/>
      <c r="AB21" s="139">
        <f t="shared" si="1"/>
        <v>696.48677529716929</v>
      </c>
    </row>
    <row r="22" spans="1:28" x14ac:dyDescent="0.2">
      <c r="A22" s="127" t="str">
        <f>'Scenario List'!$A$3</f>
        <v>1- Preferred Resource Strategy</v>
      </c>
      <c r="B22" s="128" t="s">
        <v>86</v>
      </c>
      <c r="C22" s="139"/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/>
      <c r="AB22" s="139">
        <f t="shared" si="1"/>
        <v>0</v>
      </c>
    </row>
    <row r="23" spans="1:28" x14ac:dyDescent="0.2">
      <c r="A23" s="127" t="str">
        <f>'Scenario List'!$A$3</f>
        <v>1- Preferred Resource Strategy</v>
      </c>
      <c r="B23" s="128" t="s">
        <v>87</v>
      </c>
      <c r="C23" s="139"/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/>
      <c r="AB23" s="139">
        <f t="shared" si="1"/>
        <v>0</v>
      </c>
    </row>
    <row r="24" spans="1:28" x14ac:dyDescent="0.2">
      <c r="A24" s="127" t="str">
        <f>'Scenario List'!$A$3</f>
        <v>1- Preferred Resource Strategy</v>
      </c>
      <c r="B24" s="128" t="s">
        <v>17</v>
      </c>
      <c r="C24" s="139"/>
      <c r="D24" s="139">
        <v>0</v>
      </c>
      <c r="E24" s="139">
        <v>0</v>
      </c>
      <c r="F24" s="139">
        <v>6.7666466459931875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0</v>
      </c>
      <c r="Z24" s="139">
        <v>0</v>
      </c>
      <c r="AA24" s="139"/>
      <c r="AB24" s="139">
        <f t="shared" si="1"/>
        <v>6.7666466459931875</v>
      </c>
    </row>
    <row r="25" spans="1:28" x14ac:dyDescent="0.2">
      <c r="A25" s="127" t="str">
        <f>'Scenario List'!$A$3</f>
        <v>1- Preferred Resource Strategy</v>
      </c>
      <c r="B25" s="128" t="s">
        <v>18</v>
      </c>
      <c r="C25" s="139"/>
      <c r="D25" s="139">
        <v>1.4924082571639901</v>
      </c>
      <c r="E25" s="139">
        <v>1.8635390321541856</v>
      </c>
      <c r="F25" s="139">
        <v>2.102613209798379</v>
      </c>
      <c r="G25" s="139">
        <v>2.4796557279561178</v>
      </c>
      <c r="H25" s="139">
        <v>2.6546246364356758</v>
      </c>
      <c r="I25" s="139">
        <v>2.8221318466559318</v>
      </c>
      <c r="J25" s="139">
        <v>2.8333097204145563</v>
      </c>
      <c r="K25" s="139">
        <v>2.7025667648392542</v>
      </c>
      <c r="L25" s="139">
        <v>3.0904666901381148</v>
      </c>
      <c r="M25" s="139">
        <v>3.2590206075522481</v>
      </c>
      <c r="N25" s="139">
        <v>3.1358807197928513</v>
      </c>
      <c r="O25" s="139">
        <v>3.2108253238081659</v>
      </c>
      <c r="P25" s="139">
        <v>3.1532573938147053</v>
      </c>
      <c r="Q25" s="139">
        <v>3.1911690376512851</v>
      </c>
      <c r="R25" s="139">
        <v>2.8680890796783558</v>
      </c>
      <c r="S25" s="139">
        <v>2.5648842698481928</v>
      </c>
      <c r="T25" s="139">
        <v>2.4557598714173494</v>
      </c>
      <c r="U25" s="139">
        <v>2.4649936459563335</v>
      </c>
      <c r="V25" s="139">
        <v>2.1855155765501522</v>
      </c>
      <c r="W25" s="139">
        <v>2.2572620103081462</v>
      </c>
      <c r="X25" s="139">
        <v>1.3726103159461971</v>
      </c>
      <c r="Y25" s="139">
        <v>1.5790497269017081</v>
      </c>
      <c r="Z25" s="139">
        <v>0.87361013080288075</v>
      </c>
      <c r="AA25" s="139"/>
      <c r="AB25" s="139">
        <f t="shared" si="1"/>
        <v>56.613243595584777</v>
      </c>
    </row>
    <row r="26" spans="1:28" x14ac:dyDescent="0.2">
      <c r="A26" s="127" t="str">
        <f>'Scenario List'!$A$3</f>
        <v>1- Preferred Resource Strategy</v>
      </c>
      <c r="B26" s="128" t="s">
        <v>19</v>
      </c>
      <c r="C26" s="139"/>
      <c r="D26" s="139">
        <v>1.3991819732249611</v>
      </c>
      <c r="E26" s="139">
        <v>1.7792885076105955</v>
      </c>
      <c r="F26" s="139">
        <v>2.051257485537628</v>
      </c>
      <c r="G26" s="139">
        <v>2.4872656646469657</v>
      </c>
      <c r="H26" s="139">
        <v>2.7227461235550141</v>
      </c>
      <c r="I26" s="139">
        <v>2.9481453118969583</v>
      </c>
      <c r="J26" s="139">
        <v>3.0100621175620574</v>
      </c>
      <c r="K26" s="139">
        <v>2.9364111514453448</v>
      </c>
      <c r="L26" s="139">
        <v>3.3499389997571463</v>
      </c>
      <c r="M26" s="139">
        <v>3.5944327510193546</v>
      </c>
      <c r="N26" s="139">
        <v>3.5115821293446494</v>
      </c>
      <c r="O26" s="139">
        <v>3.5847639775205415</v>
      </c>
      <c r="P26" s="139">
        <v>3.4957049160862326</v>
      </c>
      <c r="Q26" s="139">
        <v>3.4828548671968136</v>
      </c>
      <c r="R26" s="139">
        <v>3.0808692820134524</v>
      </c>
      <c r="S26" s="139">
        <v>2.6597195756024945</v>
      </c>
      <c r="T26" s="139">
        <v>2.5231420426912621</v>
      </c>
      <c r="U26" s="139">
        <v>2.4596556200711461</v>
      </c>
      <c r="V26" s="139">
        <v>2.0864393318602694</v>
      </c>
      <c r="W26" s="139">
        <v>2.1486153188909896</v>
      </c>
      <c r="X26" s="139">
        <v>1.3434569864764256</v>
      </c>
      <c r="Y26" s="139">
        <v>1.5407124218853951</v>
      </c>
      <c r="Z26" s="139">
        <v>0.86011889400235475</v>
      </c>
      <c r="AA26" s="139"/>
      <c r="AB26" s="139">
        <f t="shared" si="1"/>
        <v>59.056365449898053</v>
      </c>
    </row>
    <row r="27" spans="1:28" x14ac:dyDescent="0.2">
      <c r="A27" s="127" t="str">
        <f>'Scenario List'!$A$3</f>
        <v>1- Preferred Resource Strategy</v>
      </c>
      <c r="B27" s="12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</row>
    <row r="28" spans="1:28" x14ac:dyDescent="0.2">
      <c r="A28" s="127" t="str">
        <f>'Scenario List'!$A$3</f>
        <v>1- Preferred Resource Strategy</v>
      </c>
      <c r="B28" s="132" t="s">
        <v>8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</row>
    <row r="29" spans="1:28" x14ac:dyDescent="0.2">
      <c r="A29" s="127" t="str">
        <f>'Scenario List'!$A$3</f>
        <v>1- Preferred Resource Strategy</v>
      </c>
      <c r="B29" s="128" t="s">
        <v>12</v>
      </c>
      <c r="C29" s="139"/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90.247500000000002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46.359499999999997</v>
      </c>
      <c r="W29" s="139">
        <v>101.7032287910816</v>
      </c>
      <c r="X29" s="139">
        <v>0</v>
      </c>
      <c r="Y29" s="139">
        <v>0</v>
      </c>
      <c r="Z29" s="139">
        <v>65.202995911749042</v>
      </c>
      <c r="AA29" s="139"/>
      <c r="AB29" s="139">
        <f t="shared" ref="AB29:AB39" si="2">SUM(C29:Z29)</f>
        <v>303.51322470283066</v>
      </c>
    </row>
    <row r="30" spans="1:28" x14ac:dyDescent="0.2">
      <c r="A30" s="127" t="str">
        <f>'Scenario List'!$A$3</f>
        <v>1- Preferred Resource Strategy</v>
      </c>
      <c r="B30" s="128" t="s">
        <v>13</v>
      </c>
      <c r="C30" s="139"/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v>0</v>
      </c>
      <c r="Y30" s="139">
        <v>0</v>
      </c>
      <c r="Z30" s="139">
        <v>0</v>
      </c>
      <c r="AA30" s="139"/>
      <c r="AB30" s="139">
        <f t="shared" si="2"/>
        <v>0</v>
      </c>
    </row>
    <row r="31" spans="1:28" x14ac:dyDescent="0.2">
      <c r="A31" s="127" t="str">
        <f>'Scenario List'!$A$3</f>
        <v>1- Preferred Resource Strategy</v>
      </c>
      <c r="B31" s="128" t="s">
        <v>14</v>
      </c>
      <c r="C31" s="139"/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/>
      <c r="AB31" s="139">
        <f t="shared" si="2"/>
        <v>0</v>
      </c>
    </row>
    <row r="32" spans="1:28" x14ac:dyDescent="0.2">
      <c r="A32" s="127" t="str">
        <f>'Scenario List'!$A$3</f>
        <v>1- Preferred Resource Strategy</v>
      </c>
      <c r="B32" s="128" t="s">
        <v>15</v>
      </c>
      <c r="C32" s="139"/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39">
        <v>0</v>
      </c>
      <c r="W32" s="139">
        <v>0</v>
      </c>
      <c r="X32" s="139">
        <v>0</v>
      </c>
      <c r="Y32" s="139">
        <v>0</v>
      </c>
      <c r="Z32" s="139">
        <v>0</v>
      </c>
      <c r="AA32" s="139"/>
      <c r="AB32" s="139">
        <f t="shared" si="2"/>
        <v>0</v>
      </c>
    </row>
    <row r="33" spans="1:28" x14ac:dyDescent="0.2">
      <c r="A33" s="127" t="str">
        <f>'Scenario List'!$A$3</f>
        <v>1- Preferred Resource Strategy</v>
      </c>
      <c r="B33" s="128" t="s">
        <v>16</v>
      </c>
      <c r="C33" s="139"/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0</v>
      </c>
      <c r="X33" s="139">
        <v>0</v>
      </c>
      <c r="Y33" s="139">
        <v>0</v>
      </c>
      <c r="Z33" s="139">
        <v>25</v>
      </c>
      <c r="AA33" s="139"/>
      <c r="AB33" s="139">
        <f t="shared" si="2"/>
        <v>25</v>
      </c>
    </row>
    <row r="34" spans="1:28" x14ac:dyDescent="0.2">
      <c r="A34" s="127" t="str">
        <f>'Scenario List'!$A$3</f>
        <v>1- Preferred Resource Strategy</v>
      </c>
      <c r="B34" s="128" t="s">
        <v>85</v>
      </c>
      <c r="C34" s="139"/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39">
        <v>0</v>
      </c>
      <c r="W34" s="139">
        <v>0</v>
      </c>
      <c r="X34" s="139">
        <v>0</v>
      </c>
      <c r="Y34" s="139">
        <v>0</v>
      </c>
      <c r="Z34" s="139">
        <v>0</v>
      </c>
      <c r="AA34" s="139"/>
      <c r="AB34" s="139">
        <f t="shared" si="2"/>
        <v>0</v>
      </c>
    </row>
    <row r="35" spans="1:28" x14ac:dyDescent="0.2">
      <c r="A35" s="127" t="str">
        <f>'Scenario List'!$A$3</f>
        <v>1- Preferred Resource Strategy</v>
      </c>
      <c r="B35" s="128" t="s">
        <v>86</v>
      </c>
      <c r="C35" s="139"/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/>
      <c r="AB35" s="139">
        <f t="shared" si="2"/>
        <v>0</v>
      </c>
    </row>
    <row r="36" spans="1:28" x14ac:dyDescent="0.2">
      <c r="A36" s="127" t="str">
        <f>'Scenario List'!$A$3</f>
        <v>1- Preferred Resource Strategy</v>
      </c>
      <c r="B36" s="128" t="s">
        <v>87</v>
      </c>
      <c r="C36" s="139"/>
      <c r="D36" s="139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/>
      <c r="AB36" s="139">
        <f t="shared" si="2"/>
        <v>0</v>
      </c>
    </row>
    <row r="37" spans="1:28" x14ac:dyDescent="0.2">
      <c r="A37" s="127" t="str">
        <f>'Scenario List'!$A$3</f>
        <v>1- Preferred Resource Strategy</v>
      </c>
      <c r="B37" s="128" t="s">
        <v>17</v>
      </c>
      <c r="C37" s="139"/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  <c r="X37" s="139">
        <v>0</v>
      </c>
      <c r="Y37" s="139">
        <v>0</v>
      </c>
      <c r="Z37" s="139">
        <v>0</v>
      </c>
      <c r="AA37" s="139"/>
      <c r="AB37" s="139">
        <f t="shared" si="2"/>
        <v>0</v>
      </c>
    </row>
    <row r="38" spans="1:28" x14ac:dyDescent="0.2">
      <c r="A38" s="127" t="str">
        <f>'Scenario List'!$A$3</f>
        <v>1- Preferred Resource Strategy</v>
      </c>
      <c r="B38" s="128" t="s">
        <v>18</v>
      </c>
      <c r="C38" s="140"/>
      <c r="D38" s="140">
        <v>0.66437725400667191</v>
      </c>
      <c r="E38" s="140">
        <v>0.816499810612757</v>
      </c>
      <c r="F38" s="140">
        <v>0.94202104937270636</v>
      </c>
      <c r="G38" s="140">
        <v>1.095721003781517</v>
      </c>
      <c r="H38" s="140">
        <v>1.1782755847767064</v>
      </c>
      <c r="I38" s="140">
        <v>1.246565218770848</v>
      </c>
      <c r="J38" s="140">
        <v>1.2385751546440043</v>
      </c>
      <c r="K38" s="140">
        <v>1.2166124635043376</v>
      </c>
      <c r="L38" s="140">
        <v>1.3284920882556861</v>
      </c>
      <c r="M38" s="140">
        <v>1.3859042306184577</v>
      </c>
      <c r="N38" s="140">
        <v>1.3094680135099495</v>
      </c>
      <c r="O38" s="140">
        <v>1.3384483637380864</v>
      </c>
      <c r="P38" s="140">
        <v>1.3025729903840926</v>
      </c>
      <c r="Q38" s="140">
        <v>1.3131186548493332</v>
      </c>
      <c r="R38" s="140">
        <v>1.1756854209753165</v>
      </c>
      <c r="S38" s="140">
        <v>1.0394567848054344</v>
      </c>
      <c r="T38" s="140">
        <v>0.99916879372752732</v>
      </c>
      <c r="U38" s="140">
        <v>1.0048033599403929</v>
      </c>
      <c r="V38" s="140">
        <v>0.8650249969130428</v>
      </c>
      <c r="W38" s="140">
        <v>0.91371928109441214</v>
      </c>
      <c r="X38" s="140">
        <v>0.50528776705256107</v>
      </c>
      <c r="Y38" s="140">
        <v>0.5667462536461656</v>
      </c>
      <c r="Z38" s="140">
        <v>0.34474468614308762</v>
      </c>
      <c r="AA38" s="139"/>
      <c r="AB38" s="139">
        <f>SUM(C38:Z38)</f>
        <v>23.791289225123094</v>
      </c>
    </row>
    <row r="39" spans="1:28" x14ac:dyDescent="0.2">
      <c r="A39" s="127" t="str">
        <f>'Scenario List'!$A$3</f>
        <v>1- Preferred Resource Strategy</v>
      </c>
      <c r="B39" s="128" t="s">
        <v>19</v>
      </c>
      <c r="C39" s="140"/>
      <c r="D39" s="140">
        <v>0.61444813589337799</v>
      </c>
      <c r="E39" s="140">
        <v>0.77308007210008678</v>
      </c>
      <c r="F39" s="140">
        <v>0.91115742167673641</v>
      </c>
      <c r="G39" s="140">
        <v>1.087984377211618</v>
      </c>
      <c r="H39" s="140">
        <v>1.1921191886991807</v>
      </c>
      <c r="I39" s="140">
        <v>1.2832784084577309</v>
      </c>
      <c r="J39" s="140">
        <v>1.2953591875974135</v>
      </c>
      <c r="K39" s="140">
        <v>1.2910764374226513</v>
      </c>
      <c r="L39" s="140">
        <v>1.4133621848756306</v>
      </c>
      <c r="M39" s="140">
        <v>1.490041276032823</v>
      </c>
      <c r="N39" s="140">
        <v>1.4244211011691075</v>
      </c>
      <c r="O39" s="140">
        <v>1.4531559474064579</v>
      </c>
      <c r="P39" s="140">
        <v>1.4016532971350824</v>
      </c>
      <c r="Q39" s="140">
        <v>1.3920148992098316</v>
      </c>
      <c r="R39" s="140">
        <v>1.2234942711483718</v>
      </c>
      <c r="S39" s="140">
        <v>1.0636840359843305</v>
      </c>
      <c r="T39" s="140">
        <v>1.0211813360425239</v>
      </c>
      <c r="U39" s="140">
        <v>0.99617186983970996</v>
      </c>
      <c r="V39" s="140">
        <v>0.82973558988398821</v>
      </c>
      <c r="W39" s="140">
        <v>0.86519984183563992</v>
      </c>
      <c r="X39" s="140">
        <v>0.49387057597452966</v>
      </c>
      <c r="Y39" s="140">
        <v>0.55910472881689088</v>
      </c>
      <c r="Z39" s="140">
        <v>0.33743243237116261</v>
      </c>
      <c r="AA39" s="139"/>
      <c r="AB39" s="139">
        <f t="shared" si="2"/>
        <v>24.413026616784876</v>
      </c>
    </row>
    <row r="40" spans="1:28" x14ac:dyDescent="0.2">
      <c r="A40" s="127" t="str">
        <f>'Scenario List'!$A$3</f>
        <v>1- Preferred Resource Strategy</v>
      </c>
      <c r="B40" s="128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39"/>
      <c r="AB40" s="139"/>
    </row>
    <row r="41" spans="1:28" x14ac:dyDescent="0.2">
      <c r="A41" s="127" t="str">
        <f>'Scenario List'!$A$3</f>
        <v>1- Preferred Resource Strategy</v>
      </c>
      <c r="B41" s="131" t="s">
        <v>31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39"/>
      <c r="AB41" s="139"/>
    </row>
    <row r="42" spans="1:28" x14ac:dyDescent="0.2">
      <c r="A42" s="127" t="str">
        <f>'Scenario List'!$A$3</f>
        <v>1- Preferred Resource Strategy</v>
      </c>
      <c r="B42" s="128" t="s">
        <v>1</v>
      </c>
      <c r="C42" s="140"/>
      <c r="D42" s="140">
        <v>20.170204069932211</v>
      </c>
      <c r="E42" s="140">
        <v>43.928607992044284</v>
      </c>
      <c r="F42" s="140">
        <v>71.069419755647786</v>
      </c>
      <c r="G42" s="140">
        <v>100.28867042079591</v>
      </c>
      <c r="H42" s="140">
        <v>132.13197274589206</v>
      </c>
      <c r="I42" s="140">
        <v>166.7324624594273</v>
      </c>
      <c r="J42" s="140">
        <v>202.9188184541274</v>
      </c>
      <c r="K42" s="140">
        <v>238.02049370293011</v>
      </c>
      <c r="L42" s="140">
        <v>273.25002310185334</v>
      </c>
      <c r="M42" s="140">
        <v>306.85625807746982</v>
      </c>
      <c r="N42" s="140">
        <v>337.04004648332619</v>
      </c>
      <c r="O42" s="140">
        <v>364.01180677088104</v>
      </c>
      <c r="P42" s="140">
        <v>388.00558203526538</v>
      </c>
      <c r="Q42" s="140">
        <v>409.39785599805265</v>
      </c>
      <c r="R42" s="140">
        <v>428.63466121007406</v>
      </c>
      <c r="S42" s="140">
        <v>443.94916552115149</v>
      </c>
      <c r="T42" s="140">
        <v>457.92332707837244</v>
      </c>
      <c r="U42" s="140">
        <v>470.36793658712133</v>
      </c>
      <c r="V42" s="140">
        <v>482.19134797348573</v>
      </c>
      <c r="W42" s="140">
        <v>493.38706599773053</v>
      </c>
      <c r="X42" s="140">
        <v>499.70191789931732</v>
      </c>
      <c r="Y42" s="140">
        <v>505.88314678906789</v>
      </c>
      <c r="Z42" s="140">
        <v>510.58802575679556</v>
      </c>
      <c r="AA42" s="139"/>
      <c r="AB42" s="139">
        <f>Z42/8.76</f>
        <v>58.28630431013648</v>
      </c>
    </row>
    <row r="43" spans="1:28" x14ac:dyDescent="0.2">
      <c r="A43" s="127" t="str">
        <f>'Scenario List'!$A$3</f>
        <v>1- Preferred Resource Strategy</v>
      </c>
      <c r="B43" s="128" t="s">
        <v>2</v>
      </c>
      <c r="C43" s="140"/>
      <c r="D43" s="140">
        <v>7.8906801050101993</v>
      </c>
      <c r="E43" s="140">
        <v>17.090480688035459</v>
      </c>
      <c r="F43" s="140">
        <v>27.563056209228506</v>
      </c>
      <c r="G43" s="140">
        <v>38.742833815479479</v>
      </c>
      <c r="H43" s="140">
        <v>50.850846103178561</v>
      </c>
      <c r="I43" s="140">
        <v>63.756400712707183</v>
      </c>
      <c r="J43" s="140">
        <v>77.064954846155914</v>
      </c>
      <c r="K43" s="140">
        <v>89.95424825487018</v>
      </c>
      <c r="L43" s="140">
        <v>103.00318333789892</v>
      </c>
      <c r="M43" s="140">
        <v>115.68509494502122</v>
      </c>
      <c r="N43" s="140">
        <v>126.56357514446582</v>
      </c>
      <c r="O43" s="140">
        <v>136.58099971321056</v>
      </c>
      <c r="P43" s="140">
        <v>145.81973346769516</v>
      </c>
      <c r="Q43" s="140">
        <v>154.39932943645599</v>
      </c>
      <c r="R43" s="140">
        <v>162.36713936574498</v>
      </c>
      <c r="S43" s="140">
        <v>168.82820208205672</v>
      </c>
      <c r="T43" s="140">
        <v>174.83018657640602</v>
      </c>
      <c r="U43" s="140">
        <v>180.2369813330813</v>
      </c>
      <c r="V43" s="140">
        <v>185.3288241902757</v>
      </c>
      <c r="W43" s="140">
        <v>190.19578235937129</v>
      </c>
      <c r="X43" s="140">
        <v>192.60035352869377</v>
      </c>
      <c r="Y43" s="140">
        <v>194.94663470267355</v>
      </c>
      <c r="Z43" s="140">
        <v>196.87102549600829</v>
      </c>
      <c r="AA43" s="139"/>
      <c r="AB43" s="139">
        <f>Z43/8.76</f>
        <v>22.473861357991815</v>
      </c>
    </row>
    <row r="44" spans="1:28" x14ac:dyDescent="0.2">
      <c r="A44" s="127" t="str">
        <f>'Scenario List'!$A$3</f>
        <v>1- Preferred Resource Strategy</v>
      </c>
      <c r="B44" s="128" t="s">
        <v>4</v>
      </c>
      <c r="C44" s="140"/>
      <c r="D44" s="140">
        <v>28.060884174942409</v>
      </c>
      <c r="E44" s="140">
        <v>61.019088680079747</v>
      </c>
      <c r="F44" s="140">
        <v>98.632475964876292</v>
      </c>
      <c r="G44" s="140">
        <v>139.0315042362754</v>
      </c>
      <c r="H44" s="140">
        <v>182.98281884907061</v>
      </c>
      <c r="I44" s="140">
        <v>230.48886317213447</v>
      </c>
      <c r="J44" s="140">
        <v>279.9837733002833</v>
      </c>
      <c r="K44" s="140">
        <v>327.97474195780029</v>
      </c>
      <c r="L44" s="140">
        <v>376.25320643975226</v>
      </c>
      <c r="M44" s="140">
        <v>422.54135302249102</v>
      </c>
      <c r="N44" s="140">
        <v>463.60362162779199</v>
      </c>
      <c r="O44" s="140">
        <v>500.59280648409162</v>
      </c>
      <c r="P44" s="140">
        <v>533.82531550296051</v>
      </c>
      <c r="Q44" s="140">
        <v>563.79718543450861</v>
      </c>
      <c r="R44" s="140">
        <v>591.00180057581906</v>
      </c>
      <c r="S44" s="140">
        <v>612.77736760320818</v>
      </c>
      <c r="T44" s="140">
        <v>632.75351365477843</v>
      </c>
      <c r="U44" s="140">
        <v>650.60491792020264</v>
      </c>
      <c r="V44" s="140">
        <v>667.52017216376146</v>
      </c>
      <c r="W44" s="140">
        <v>683.58284835710185</v>
      </c>
      <c r="X44" s="140">
        <v>692.30227142801107</v>
      </c>
      <c r="Y44" s="140">
        <v>700.82978149174141</v>
      </c>
      <c r="Z44" s="140">
        <v>707.45905125280387</v>
      </c>
      <c r="AA44" s="139"/>
      <c r="AB44" s="139">
        <f>Z44/8.76</f>
        <v>80.760165668128295</v>
      </c>
    </row>
    <row r="45" spans="1:28" x14ac:dyDescent="0.2">
      <c r="A45" s="127" t="str">
        <f>'Scenario List'!$A$3</f>
        <v>1- Preferred Resource Strategy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39"/>
      <c r="AB45" s="139"/>
    </row>
    <row r="46" spans="1:28" x14ac:dyDescent="0.2">
      <c r="A46" s="127" t="str">
        <f>'Scenario List'!$A$3</f>
        <v>1- Preferred Resource Strategy</v>
      </c>
      <c r="B46" s="141" t="s">
        <v>32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39"/>
      <c r="AB46" s="139"/>
    </row>
    <row r="47" spans="1:28" x14ac:dyDescent="0.2">
      <c r="A47" s="127" t="str">
        <f>'Scenario List'!$A$3</f>
        <v>1- Preferred Resource Strategy</v>
      </c>
      <c r="B47" s="128" t="s">
        <v>1</v>
      </c>
      <c r="C47" s="140"/>
      <c r="D47" s="140">
        <v>2.4275297773460589</v>
      </c>
      <c r="E47" s="140">
        <v>5.2888259018630963</v>
      </c>
      <c r="F47" s="140">
        <v>8.5544171089933378</v>
      </c>
      <c r="G47" s="140">
        <v>12.072528358105743</v>
      </c>
      <c r="H47" s="140">
        <v>15.906952088398148</v>
      </c>
      <c r="I47" s="140">
        <v>20.080129954124587</v>
      </c>
      <c r="J47" s="140">
        <v>24.432223628059511</v>
      </c>
      <c r="K47" s="140">
        <v>28.660619016298586</v>
      </c>
      <c r="L47" s="140">
        <v>32.905495835084416</v>
      </c>
      <c r="M47" s="140">
        <v>36.967698810725544</v>
      </c>
      <c r="N47" s="140">
        <v>40.594422118488815</v>
      </c>
      <c r="O47" s="140">
        <v>43.84700397763465</v>
      </c>
      <c r="P47" s="140">
        <v>46.741524036645465</v>
      </c>
      <c r="Q47" s="140">
        <v>49.339873873243803</v>
      </c>
      <c r="R47" s="140">
        <v>51.645912081925069</v>
      </c>
      <c r="S47" s="140">
        <v>53.496505308053564</v>
      </c>
      <c r="T47" s="140">
        <v>55.18608777935021</v>
      </c>
      <c r="U47" s="140">
        <v>56.711684942486812</v>
      </c>
      <c r="V47" s="140">
        <v>58.123267935939268</v>
      </c>
      <c r="W47" s="140">
        <v>59.479556545794807</v>
      </c>
      <c r="X47" s="140">
        <v>60.247932990962902</v>
      </c>
      <c r="Y47" s="140">
        <v>61.022980238481189</v>
      </c>
      <c r="Z47" s="140">
        <v>61.57592042072087</v>
      </c>
      <c r="AA47" s="139"/>
      <c r="AB47" s="139">
        <f>Z47</f>
        <v>61.57592042072087</v>
      </c>
    </row>
    <row r="48" spans="1:28" x14ac:dyDescent="0.2">
      <c r="A48" s="127" t="str">
        <f>'Scenario List'!$A$3</f>
        <v>1- Preferred Resource Strategy</v>
      </c>
      <c r="B48" s="128" t="s">
        <v>2</v>
      </c>
      <c r="C48" s="140"/>
      <c r="D48" s="140">
        <v>0.94966123555381388</v>
      </c>
      <c r="E48" s="140">
        <v>2.0576244290404753</v>
      </c>
      <c r="F48" s="140">
        <v>3.3176840393949023</v>
      </c>
      <c r="G48" s="140">
        <v>4.6637766554113833</v>
      </c>
      <c r="H48" s="140">
        <v>6.1217732226957695</v>
      </c>
      <c r="I48" s="140">
        <v>7.678389635911091</v>
      </c>
      <c r="J48" s="140">
        <v>9.2789235864451793</v>
      </c>
      <c r="K48" s="140">
        <v>10.831606968045872</v>
      </c>
      <c r="L48" s="140">
        <v>12.403917781416945</v>
      </c>
      <c r="M48" s="140">
        <v>13.936856864552023</v>
      </c>
      <c r="N48" s="140">
        <v>15.243812264587072</v>
      </c>
      <c r="O48" s="140">
        <v>16.451849984810771</v>
      </c>
      <c r="P48" s="140">
        <v>17.566336394299672</v>
      </c>
      <c r="Q48" s="140">
        <v>18.607922168855698</v>
      </c>
      <c r="R48" s="140">
        <v>19.563511221896153</v>
      </c>
      <c r="S48" s="140">
        <v>20.344038259942579</v>
      </c>
      <c r="T48" s="140">
        <v>21.069453011801805</v>
      </c>
      <c r="U48" s="140">
        <v>21.730951676918469</v>
      </c>
      <c r="V48" s="140">
        <v>22.33950681598769</v>
      </c>
      <c r="W48" s="140">
        <v>22.928774528653623</v>
      </c>
      <c r="X48" s="140">
        <v>23.221390148377417</v>
      </c>
      <c r="Y48" s="140">
        <v>23.51575598540326</v>
      </c>
      <c r="Z48" s="140">
        <v>23.74226183843594</v>
      </c>
      <c r="AA48" s="139"/>
      <c r="AB48" s="139">
        <f>Z48</f>
        <v>23.74226183843594</v>
      </c>
    </row>
    <row r="49" spans="1:28" x14ac:dyDescent="0.2">
      <c r="A49" s="127" t="str">
        <f>'Scenario List'!$A$3</f>
        <v>1- Preferred Resource Strategy</v>
      </c>
      <c r="B49" s="128" t="s">
        <v>4</v>
      </c>
      <c r="C49" s="140"/>
      <c r="D49" s="140">
        <v>3.377191012899873</v>
      </c>
      <c r="E49" s="140">
        <v>7.346450330903572</v>
      </c>
      <c r="F49" s="140">
        <v>11.872101148388239</v>
      </c>
      <c r="G49" s="140">
        <v>16.736305013517125</v>
      </c>
      <c r="H49" s="140">
        <v>22.028725311093918</v>
      </c>
      <c r="I49" s="140">
        <v>27.758519590035679</v>
      </c>
      <c r="J49" s="140">
        <v>33.711147214504692</v>
      </c>
      <c r="K49" s="140">
        <v>39.492225984344458</v>
      </c>
      <c r="L49" s="140">
        <v>45.309413616501359</v>
      </c>
      <c r="M49" s="140">
        <v>50.904555675277564</v>
      </c>
      <c r="N49" s="140">
        <v>55.838234383075886</v>
      </c>
      <c r="O49" s="140">
        <v>60.298853962445421</v>
      </c>
      <c r="P49" s="140">
        <v>64.307860430945141</v>
      </c>
      <c r="Q49" s="140">
        <v>67.947796042099498</v>
      </c>
      <c r="R49" s="140">
        <v>71.209423303821225</v>
      </c>
      <c r="S49" s="140">
        <v>73.84054356799615</v>
      </c>
      <c r="T49" s="140">
        <v>76.255540791152015</v>
      </c>
      <c r="U49" s="140">
        <v>78.442636619405278</v>
      </c>
      <c r="V49" s="140">
        <v>80.462774751926958</v>
      </c>
      <c r="W49" s="140">
        <v>82.408331074448427</v>
      </c>
      <c r="X49" s="140">
        <v>83.469323139340318</v>
      </c>
      <c r="Y49" s="140">
        <v>84.538736223884456</v>
      </c>
      <c r="Z49" s="140">
        <v>85.318182259156814</v>
      </c>
      <c r="AA49" s="139"/>
      <c r="AB49" s="139">
        <f>Z49</f>
        <v>85.318182259156814</v>
      </c>
    </row>
    <row r="50" spans="1:28" x14ac:dyDescent="0.2">
      <c r="B50" s="128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39"/>
      <c r="AB50" s="139"/>
    </row>
    <row r="51" spans="1:28" x14ac:dyDescent="0.2">
      <c r="A51" s="127" t="str">
        <f>'Scenario List'!$A$4</f>
        <v>2- Alternative Lowest Reasonable Cost Portfolio</v>
      </c>
      <c r="B51" s="131" t="s">
        <v>11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39"/>
      <c r="AB51" s="139"/>
    </row>
    <row r="52" spans="1:28" x14ac:dyDescent="0.2">
      <c r="A52" s="127" t="str">
        <f>'Scenario List'!$A$4</f>
        <v>2- Alternative Lowest Reasonable Cost Portfolio</v>
      </c>
      <c r="B52" s="128" t="s">
        <v>12</v>
      </c>
      <c r="C52" s="140"/>
      <c r="D52" s="140">
        <v>0</v>
      </c>
      <c r="E52" s="140">
        <v>0</v>
      </c>
      <c r="F52" s="140">
        <v>0</v>
      </c>
      <c r="G52" s="140">
        <v>0</v>
      </c>
      <c r="H52" s="140">
        <v>0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O52" s="140">
        <v>0</v>
      </c>
      <c r="P52" s="140">
        <v>0</v>
      </c>
      <c r="Q52" s="140">
        <v>0</v>
      </c>
      <c r="R52" s="140">
        <v>0</v>
      </c>
      <c r="S52" s="140">
        <v>0</v>
      </c>
      <c r="T52" s="140">
        <v>0</v>
      </c>
      <c r="U52" s="140">
        <v>0</v>
      </c>
      <c r="V52" s="140">
        <v>0</v>
      </c>
      <c r="W52" s="140">
        <v>0</v>
      </c>
      <c r="X52" s="140">
        <v>0</v>
      </c>
      <c r="Y52" s="140">
        <v>0</v>
      </c>
      <c r="Z52" s="140">
        <v>147.90932544006054</v>
      </c>
      <c r="AA52" s="139"/>
      <c r="AB52" s="139">
        <f>SUM(C52:Z52)</f>
        <v>147.90932544006054</v>
      </c>
    </row>
    <row r="53" spans="1:28" x14ac:dyDescent="0.2">
      <c r="A53" s="127" t="str">
        <f>'Scenario List'!$A$4</f>
        <v>2- Alternative Lowest Reasonable Cost Portfolio</v>
      </c>
      <c r="B53" s="128" t="s">
        <v>13</v>
      </c>
      <c r="C53" s="140"/>
      <c r="D53" s="140">
        <v>0</v>
      </c>
      <c r="E53" s="140">
        <v>0</v>
      </c>
      <c r="F53" s="140">
        <v>0</v>
      </c>
      <c r="G53" s="140">
        <v>0</v>
      </c>
      <c r="H53" s="140">
        <v>0</v>
      </c>
      <c r="I53" s="140">
        <v>0</v>
      </c>
      <c r="J53" s="140">
        <v>0</v>
      </c>
      <c r="K53" s="140">
        <v>0</v>
      </c>
      <c r="L53" s="140">
        <v>0</v>
      </c>
      <c r="M53" s="140">
        <v>0</v>
      </c>
      <c r="N53" s="140">
        <v>0</v>
      </c>
      <c r="O53" s="140">
        <v>0</v>
      </c>
      <c r="P53" s="140">
        <v>0</v>
      </c>
      <c r="Q53" s="140">
        <v>0</v>
      </c>
      <c r="R53" s="140">
        <v>0</v>
      </c>
      <c r="S53" s="140">
        <v>0</v>
      </c>
      <c r="T53" s="140">
        <v>0</v>
      </c>
      <c r="U53" s="140">
        <v>0</v>
      </c>
      <c r="V53" s="140">
        <v>0</v>
      </c>
      <c r="W53" s="140">
        <v>0</v>
      </c>
      <c r="X53" s="140">
        <v>0</v>
      </c>
      <c r="Y53" s="140">
        <v>0</v>
      </c>
      <c r="Z53" s="140">
        <v>0</v>
      </c>
      <c r="AA53" s="139"/>
      <c r="AB53" s="139">
        <f t="shared" ref="AB53:AB60" si="3">SUM(C53:Z53)</f>
        <v>0</v>
      </c>
    </row>
    <row r="54" spans="1:28" x14ac:dyDescent="0.2">
      <c r="A54" s="127" t="str">
        <f>'Scenario List'!$A$4</f>
        <v>2- Alternative Lowest Reasonable Cost Portfolio</v>
      </c>
      <c r="B54" s="128" t="s">
        <v>14</v>
      </c>
      <c r="C54" s="140"/>
      <c r="D54" s="140">
        <v>0</v>
      </c>
      <c r="E54" s="140">
        <v>0</v>
      </c>
      <c r="F54" s="140">
        <v>0</v>
      </c>
      <c r="G54" s="140">
        <v>0</v>
      </c>
      <c r="H54" s="140">
        <v>0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</v>
      </c>
      <c r="U54" s="140">
        <v>0</v>
      </c>
      <c r="V54" s="140">
        <v>0</v>
      </c>
      <c r="W54" s="140">
        <v>0</v>
      </c>
      <c r="X54" s="140">
        <v>0</v>
      </c>
      <c r="Y54" s="140">
        <v>0</v>
      </c>
      <c r="Z54" s="140">
        <v>0</v>
      </c>
      <c r="AA54" s="139"/>
      <c r="AB54" s="139">
        <f t="shared" si="3"/>
        <v>0</v>
      </c>
    </row>
    <row r="55" spans="1:28" x14ac:dyDescent="0.2">
      <c r="A55" s="127" t="str">
        <f>'Scenario List'!$A$4</f>
        <v>2- Alternative Lowest Reasonable Cost Portfolio</v>
      </c>
      <c r="B55" s="128" t="s">
        <v>15</v>
      </c>
      <c r="C55" s="140"/>
      <c r="D55" s="140">
        <v>0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0">
        <v>0</v>
      </c>
      <c r="L55" s="140">
        <v>0</v>
      </c>
      <c r="M55" s="140">
        <v>0</v>
      </c>
      <c r="N55" s="140">
        <v>0</v>
      </c>
      <c r="O55" s="140">
        <v>0</v>
      </c>
      <c r="P55" s="140">
        <v>0</v>
      </c>
      <c r="Q55" s="140">
        <v>0</v>
      </c>
      <c r="R55" s="140">
        <v>0</v>
      </c>
      <c r="S55" s="140">
        <v>0</v>
      </c>
      <c r="T55" s="140">
        <v>0</v>
      </c>
      <c r="U55" s="140">
        <v>0</v>
      </c>
      <c r="V55" s="140">
        <v>0</v>
      </c>
      <c r="W55" s="140">
        <v>0</v>
      </c>
      <c r="X55" s="140">
        <v>0</v>
      </c>
      <c r="Y55" s="140">
        <v>0</v>
      </c>
      <c r="Z55" s="140">
        <v>0</v>
      </c>
      <c r="AA55" s="139"/>
      <c r="AB55" s="139">
        <f t="shared" si="3"/>
        <v>0</v>
      </c>
    </row>
    <row r="56" spans="1:28" x14ac:dyDescent="0.2">
      <c r="A56" s="127" t="str">
        <f>'Scenario List'!$A$4</f>
        <v>2- Alternative Lowest Reasonable Cost Portfolio</v>
      </c>
      <c r="B56" s="128" t="s">
        <v>16</v>
      </c>
      <c r="C56" s="140"/>
      <c r="D56" s="140">
        <v>0</v>
      </c>
      <c r="E56" s="140">
        <v>0</v>
      </c>
      <c r="F56" s="140">
        <v>0</v>
      </c>
      <c r="G56" s="140">
        <v>0</v>
      </c>
      <c r="H56" s="140">
        <v>0</v>
      </c>
      <c r="I56" s="140">
        <v>0</v>
      </c>
      <c r="J56" s="140">
        <v>0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40">
        <v>0</v>
      </c>
      <c r="Q56" s="140">
        <v>0</v>
      </c>
      <c r="R56" s="140">
        <v>0</v>
      </c>
      <c r="S56" s="140">
        <v>0</v>
      </c>
      <c r="T56" s="140">
        <v>0</v>
      </c>
      <c r="U56" s="140">
        <v>0</v>
      </c>
      <c r="V56" s="140">
        <v>80.338132659848071</v>
      </c>
      <c r="W56" s="140">
        <v>0</v>
      </c>
      <c r="X56" s="140">
        <v>61.259579180491656</v>
      </c>
      <c r="Y56" s="140">
        <v>58.475878794849244</v>
      </c>
      <c r="Z56" s="140">
        <v>50</v>
      </c>
      <c r="AA56" s="139"/>
      <c r="AB56" s="139">
        <f t="shared" si="3"/>
        <v>250.07359063518899</v>
      </c>
    </row>
    <row r="57" spans="1:28" x14ac:dyDescent="0.2">
      <c r="A57" s="127" t="str">
        <f>'Scenario List'!$A$4</f>
        <v>2- Alternative Lowest Reasonable Cost Portfolio</v>
      </c>
      <c r="B57" s="128" t="s">
        <v>85</v>
      </c>
      <c r="C57" s="140"/>
      <c r="D57" s="140">
        <v>0</v>
      </c>
      <c r="E57" s="140">
        <v>0</v>
      </c>
      <c r="F57" s="140">
        <v>0</v>
      </c>
      <c r="G57" s="140">
        <v>0</v>
      </c>
      <c r="H57" s="140">
        <v>0</v>
      </c>
      <c r="I57" s="140">
        <v>0</v>
      </c>
      <c r="J57" s="140">
        <v>0</v>
      </c>
      <c r="K57" s="140">
        <v>0</v>
      </c>
      <c r="L57" s="140">
        <v>0</v>
      </c>
      <c r="M57" s="140">
        <v>0</v>
      </c>
      <c r="N57" s="140">
        <v>0</v>
      </c>
      <c r="O57" s="140">
        <v>0</v>
      </c>
      <c r="P57" s="140">
        <v>0</v>
      </c>
      <c r="Q57" s="140">
        <v>0</v>
      </c>
      <c r="R57" s="140">
        <v>0</v>
      </c>
      <c r="S57" s="140">
        <v>0</v>
      </c>
      <c r="T57" s="140">
        <v>0</v>
      </c>
      <c r="U57" s="140">
        <v>0</v>
      </c>
      <c r="V57" s="140">
        <v>0</v>
      </c>
      <c r="W57" s="140">
        <v>0</v>
      </c>
      <c r="X57" s="140">
        <v>0</v>
      </c>
      <c r="Y57" s="140">
        <v>0</v>
      </c>
      <c r="Z57" s="140">
        <v>0</v>
      </c>
      <c r="AA57" s="139"/>
      <c r="AB57" s="139">
        <f t="shared" si="3"/>
        <v>0</v>
      </c>
    </row>
    <row r="58" spans="1:28" x14ac:dyDescent="0.2">
      <c r="A58" s="127" t="str">
        <f>'Scenario List'!$A$4</f>
        <v>2- Alternative Lowest Reasonable Cost Portfolio</v>
      </c>
      <c r="B58" s="128" t="s">
        <v>86</v>
      </c>
      <c r="C58" s="140"/>
      <c r="D58" s="140">
        <v>0</v>
      </c>
      <c r="E58" s="140">
        <v>0</v>
      </c>
      <c r="F58" s="140">
        <v>0</v>
      </c>
      <c r="G58" s="140">
        <v>0</v>
      </c>
      <c r="H58" s="140">
        <v>0</v>
      </c>
      <c r="I58" s="140">
        <v>0</v>
      </c>
      <c r="J58" s="140">
        <v>0</v>
      </c>
      <c r="K58" s="140">
        <v>0</v>
      </c>
      <c r="L58" s="140">
        <v>0</v>
      </c>
      <c r="M58" s="140">
        <v>0</v>
      </c>
      <c r="N58" s="140">
        <v>0</v>
      </c>
      <c r="O58" s="140">
        <v>0</v>
      </c>
      <c r="P58" s="140">
        <v>0</v>
      </c>
      <c r="Q58" s="140">
        <v>0</v>
      </c>
      <c r="R58" s="140">
        <v>0</v>
      </c>
      <c r="S58" s="140">
        <v>0</v>
      </c>
      <c r="T58" s="140">
        <v>0</v>
      </c>
      <c r="U58" s="140">
        <v>0</v>
      </c>
      <c r="V58" s="140">
        <v>0</v>
      </c>
      <c r="W58" s="140">
        <v>0</v>
      </c>
      <c r="X58" s="140">
        <v>0</v>
      </c>
      <c r="Y58" s="140">
        <v>0</v>
      </c>
      <c r="Z58" s="140">
        <v>0</v>
      </c>
      <c r="AA58" s="139"/>
      <c r="AB58" s="139">
        <f t="shared" si="3"/>
        <v>0</v>
      </c>
    </row>
    <row r="59" spans="1:28" x14ac:dyDescent="0.2">
      <c r="A59" s="127" t="str">
        <f>'Scenario List'!$A$4</f>
        <v>2- Alternative Lowest Reasonable Cost Portfolio</v>
      </c>
      <c r="B59" s="128" t="s">
        <v>87</v>
      </c>
      <c r="C59" s="140"/>
      <c r="D59" s="140">
        <v>0</v>
      </c>
      <c r="E59" s="140">
        <v>0</v>
      </c>
      <c r="F59" s="140">
        <v>0</v>
      </c>
      <c r="G59" s="140">
        <v>0</v>
      </c>
      <c r="H59" s="140">
        <v>0</v>
      </c>
      <c r="I59" s="140">
        <v>0</v>
      </c>
      <c r="J59" s="140">
        <v>0</v>
      </c>
      <c r="K59" s="140">
        <v>0</v>
      </c>
      <c r="L59" s="140">
        <v>0</v>
      </c>
      <c r="M59" s="140">
        <v>0</v>
      </c>
      <c r="N59" s="140">
        <v>0</v>
      </c>
      <c r="O59" s="140">
        <v>0</v>
      </c>
      <c r="P59" s="140">
        <v>0</v>
      </c>
      <c r="Q59" s="140">
        <v>0</v>
      </c>
      <c r="R59" s="140">
        <v>0</v>
      </c>
      <c r="S59" s="140">
        <v>0</v>
      </c>
      <c r="T59" s="140">
        <v>0</v>
      </c>
      <c r="U59" s="140">
        <v>0</v>
      </c>
      <c r="V59" s="140">
        <v>0</v>
      </c>
      <c r="W59" s="140">
        <v>0</v>
      </c>
      <c r="X59" s="140">
        <v>0</v>
      </c>
      <c r="Y59" s="140">
        <v>0</v>
      </c>
      <c r="Z59" s="140">
        <v>0</v>
      </c>
      <c r="AA59" s="139"/>
      <c r="AB59" s="139">
        <f t="shared" si="3"/>
        <v>0</v>
      </c>
    </row>
    <row r="60" spans="1:28" x14ac:dyDescent="0.2">
      <c r="A60" s="127" t="str">
        <f>'Scenario List'!$A$4</f>
        <v>2- Alternative Lowest Reasonable Cost Portfolio</v>
      </c>
      <c r="B60" s="128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39"/>
      <c r="AB60" s="139">
        <f t="shared" si="3"/>
        <v>0</v>
      </c>
    </row>
    <row r="61" spans="1:28" x14ac:dyDescent="0.2">
      <c r="A61" s="127" t="str">
        <f>'Scenario List'!$A$4</f>
        <v>2- Alternative Lowest Reasonable Cost Portfolio</v>
      </c>
      <c r="B61" s="128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39"/>
      <c r="AB61" s="139"/>
    </row>
    <row r="62" spans="1:28" x14ac:dyDescent="0.2">
      <c r="A62" s="127" t="str">
        <f>'Scenario List'!$A$4</f>
        <v>2- Alternative Lowest Reasonable Cost Portfolio</v>
      </c>
      <c r="B62" s="128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39"/>
      <c r="AB62" s="139"/>
    </row>
    <row r="63" spans="1:28" x14ac:dyDescent="0.2">
      <c r="A63" s="127" t="str">
        <f>'Scenario List'!$A$4</f>
        <v>2- Alternative Lowest Reasonable Cost Portfolio</v>
      </c>
      <c r="B63" s="131" t="s">
        <v>9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39"/>
      <c r="AB63" s="139"/>
    </row>
    <row r="64" spans="1:28" x14ac:dyDescent="0.2">
      <c r="A64" s="127" t="str">
        <f>'Scenario List'!$A$4</f>
        <v>2- Alternative Lowest Reasonable Cost Portfolio</v>
      </c>
      <c r="B64" s="128" t="s">
        <v>12</v>
      </c>
      <c r="C64" s="140"/>
      <c r="D64" s="140">
        <v>0</v>
      </c>
      <c r="E64" s="140">
        <v>0</v>
      </c>
      <c r="F64" s="140">
        <v>0</v>
      </c>
      <c r="G64" s="140">
        <v>0</v>
      </c>
      <c r="H64" s="140">
        <v>0</v>
      </c>
      <c r="I64" s="140">
        <v>0</v>
      </c>
      <c r="J64" s="140">
        <v>0</v>
      </c>
      <c r="K64" s="140">
        <v>0</v>
      </c>
      <c r="L64" s="140">
        <v>0</v>
      </c>
      <c r="M64" s="140">
        <v>0</v>
      </c>
      <c r="N64" s="140">
        <v>0</v>
      </c>
      <c r="O64" s="140">
        <v>0</v>
      </c>
      <c r="P64" s="140">
        <v>0</v>
      </c>
      <c r="Q64" s="140">
        <v>0</v>
      </c>
      <c r="R64" s="140">
        <v>0</v>
      </c>
      <c r="S64" s="140">
        <v>0</v>
      </c>
      <c r="T64" s="140">
        <v>0</v>
      </c>
      <c r="U64" s="140">
        <v>0</v>
      </c>
      <c r="V64" s="140">
        <v>0</v>
      </c>
      <c r="W64" s="140">
        <v>0</v>
      </c>
      <c r="X64" s="140">
        <v>0</v>
      </c>
      <c r="Y64" s="140">
        <v>0</v>
      </c>
      <c r="Z64" s="140">
        <v>152.09067455993946</v>
      </c>
      <c r="AA64" s="139"/>
      <c r="AB64" s="139">
        <f t="shared" ref="AB64:AB74" si="4">SUM(C64:Z64)</f>
        <v>152.09067455993946</v>
      </c>
    </row>
    <row r="65" spans="1:28" x14ac:dyDescent="0.2">
      <c r="A65" s="127" t="str">
        <f>'Scenario List'!$A$4</f>
        <v>2- Alternative Lowest Reasonable Cost Portfolio</v>
      </c>
      <c r="B65" s="128" t="s">
        <v>13</v>
      </c>
      <c r="C65" s="140"/>
      <c r="D65" s="140">
        <v>0</v>
      </c>
      <c r="E65" s="140">
        <v>0</v>
      </c>
      <c r="F65" s="140">
        <v>0</v>
      </c>
      <c r="G65" s="140">
        <v>0</v>
      </c>
      <c r="H65" s="140">
        <v>0</v>
      </c>
      <c r="I65" s="140">
        <v>0</v>
      </c>
      <c r="J65" s="140">
        <v>0</v>
      </c>
      <c r="K65" s="140">
        <v>0</v>
      </c>
      <c r="L65" s="140">
        <v>0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140">
        <v>0</v>
      </c>
      <c r="S65" s="140">
        <v>0</v>
      </c>
      <c r="T65" s="140">
        <v>0</v>
      </c>
      <c r="U65" s="140">
        <v>0</v>
      </c>
      <c r="V65" s="140">
        <v>0</v>
      </c>
      <c r="W65" s="140">
        <v>0</v>
      </c>
      <c r="X65" s="140">
        <v>0</v>
      </c>
      <c r="Y65" s="140">
        <v>50.830115827174126</v>
      </c>
      <c r="Z65" s="140">
        <v>0</v>
      </c>
      <c r="AA65" s="139"/>
      <c r="AB65" s="139">
        <f t="shared" si="4"/>
        <v>50.830115827174126</v>
      </c>
    </row>
    <row r="66" spans="1:28" x14ac:dyDescent="0.2">
      <c r="A66" s="127" t="str">
        <f>'Scenario List'!$A$4</f>
        <v>2- Alternative Lowest Reasonable Cost Portfolio</v>
      </c>
      <c r="B66" s="128" t="s">
        <v>14</v>
      </c>
      <c r="C66" s="140"/>
      <c r="D66" s="140">
        <v>0</v>
      </c>
      <c r="E66" s="140">
        <v>0</v>
      </c>
      <c r="F66" s="140">
        <v>0</v>
      </c>
      <c r="G66" s="140">
        <v>0</v>
      </c>
      <c r="H66" s="140">
        <v>0</v>
      </c>
      <c r="I66" s="140">
        <v>0</v>
      </c>
      <c r="J66" s="140">
        <v>0</v>
      </c>
      <c r="K66" s="140">
        <v>0</v>
      </c>
      <c r="L66" s="140">
        <v>0</v>
      </c>
      <c r="M66" s="140">
        <v>0</v>
      </c>
      <c r="N66" s="140">
        <v>0</v>
      </c>
      <c r="O66" s="140">
        <v>0</v>
      </c>
      <c r="P66" s="140">
        <v>0</v>
      </c>
      <c r="Q66" s="140">
        <v>0</v>
      </c>
      <c r="R66" s="140">
        <v>0</v>
      </c>
      <c r="S66" s="140">
        <v>0</v>
      </c>
      <c r="T66" s="140">
        <v>0</v>
      </c>
      <c r="U66" s="140">
        <v>0</v>
      </c>
      <c r="V66" s="140">
        <v>0</v>
      </c>
      <c r="W66" s="140">
        <v>0</v>
      </c>
      <c r="X66" s="140">
        <v>0</v>
      </c>
      <c r="Y66" s="140">
        <v>25.415057913587063</v>
      </c>
      <c r="Z66" s="140">
        <v>0</v>
      </c>
      <c r="AA66" s="139"/>
      <c r="AB66" s="139">
        <f t="shared" si="4"/>
        <v>25.415057913587063</v>
      </c>
    </row>
    <row r="67" spans="1:28" x14ac:dyDescent="0.2">
      <c r="A67" s="127" t="str">
        <f>'Scenario List'!$A$4</f>
        <v>2- Alternative Lowest Reasonable Cost Portfolio</v>
      </c>
      <c r="B67" s="128" t="s">
        <v>15</v>
      </c>
      <c r="C67" s="140"/>
      <c r="D67" s="140">
        <v>0</v>
      </c>
      <c r="E67" s="140">
        <v>0</v>
      </c>
      <c r="F67" s="140">
        <v>0</v>
      </c>
      <c r="G67" s="140">
        <v>0</v>
      </c>
      <c r="H67" s="140">
        <v>0</v>
      </c>
      <c r="I67" s="140">
        <v>0</v>
      </c>
      <c r="J67" s="140">
        <v>0</v>
      </c>
      <c r="K67" s="140">
        <v>200</v>
      </c>
      <c r="L67" s="140">
        <v>0</v>
      </c>
      <c r="M67" s="140">
        <v>200</v>
      </c>
      <c r="N67" s="140">
        <v>0</v>
      </c>
      <c r="O67" s="140">
        <v>0</v>
      </c>
      <c r="P67" s="140">
        <v>0</v>
      </c>
      <c r="Q67" s="140">
        <v>0</v>
      </c>
      <c r="R67" s="140">
        <v>0</v>
      </c>
      <c r="S67" s="140">
        <v>0</v>
      </c>
      <c r="T67" s="140">
        <v>0</v>
      </c>
      <c r="U67" s="140">
        <v>0</v>
      </c>
      <c r="V67" s="140">
        <v>140</v>
      </c>
      <c r="W67" s="140">
        <v>105</v>
      </c>
      <c r="X67" s="140">
        <v>0</v>
      </c>
      <c r="Y67" s="140">
        <v>0</v>
      </c>
      <c r="Z67" s="140">
        <v>197.57645540926666</v>
      </c>
      <c r="AA67" s="139"/>
      <c r="AB67" s="139">
        <f t="shared" si="4"/>
        <v>842.5764554092666</v>
      </c>
    </row>
    <row r="68" spans="1:28" x14ac:dyDescent="0.2">
      <c r="A68" s="127" t="str">
        <f>'Scenario List'!$A$4</f>
        <v>2- Alternative Lowest Reasonable Cost Portfolio</v>
      </c>
      <c r="B68" s="128" t="s">
        <v>16</v>
      </c>
      <c r="C68" s="140"/>
      <c r="D68" s="140">
        <v>0</v>
      </c>
      <c r="E68" s="140">
        <v>0</v>
      </c>
      <c r="F68" s="140">
        <v>0</v>
      </c>
      <c r="G68" s="140">
        <v>0</v>
      </c>
      <c r="H68" s="140">
        <v>0</v>
      </c>
      <c r="I68" s="140">
        <v>0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40">
        <v>0</v>
      </c>
      <c r="Q68" s="140">
        <v>0</v>
      </c>
      <c r="R68" s="140">
        <v>0</v>
      </c>
      <c r="S68" s="140">
        <v>0</v>
      </c>
      <c r="T68" s="140">
        <v>52.130993042745146</v>
      </c>
      <c r="U68" s="140">
        <v>0</v>
      </c>
      <c r="V68" s="140">
        <v>0</v>
      </c>
      <c r="W68" s="140">
        <v>211.60540083164099</v>
      </c>
      <c r="X68" s="140">
        <v>0</v>
      </c>
      <c r="Y68" s="140">
        <v>0</v>
      </c>
      <c r="Z68" s="140">
        <v>68.845691972154981</v>
      </c>
      <c r="AA68" s="139"/>
      <c r="AB68" s="139">
        <f t="shared" si="4"/>
        <v>332.58208584654108</v>
      </c>
    </row>
    <row r="69" spans="1:28" x14ac:dyDescent="0.2">
      <c r="A69" s="127" t="str">
        <f>'Scenario List'!$A$4</f>
        <v>2- Alternative Lowest Reasonable Cost Portfolio</v>
      </c>
      <c r="B69" s="128" t="s">
        <v>85</v>
      </c>
      <c r="C69" s="140"/>
      <c r="D69" s="140">
        <v>0</v>
      </c>
      <c r="E69" s="140">
        <v>0</v>
      </c>
      <c r="F69" s="140">
        <v>0</v>
      </c>
      <c r="G69" s="140">
        <v>0</v>
      </c>
      <c r="H69" s="140">
        <v>0</v>
      </c>
      <c r="I69" s="140">
        <v>0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88.43012105271147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  <c r="X69" s="140">
        <v>0</v>
      </c>
      <c r="Y69" s="140">
        <v>0</v>
      </c>
      <c r="Z69" s="140">
        <v>0</v>
      </c>
      <c r="AA69" s="139"/>
      <c r="AB69" s="139">
        <f t="shared" si="4"/>
        <v>88.43012105271147</v>
      </c>
    </row>
    <row r="70" spans="1:28" x14ac:dyDescent="0.2">
      <c r="A70" s="127" t="str">
        <f>'Scenario List'!$A$4</f>
        <v>2- Alternative Lowest Reasonable Cost Portfolio</v>
      </c>
      <c r="B70" s="128" t="s">
        <v>86</v>
      </c>
      <c r="C70" s="140"/>
      <c r="D70" s="140">
        <v>0</v>
      </c>
      <c r="E70" s="140">
        <v>0</v>
      </c>
      <c r="F70" s="140">
        <v>0</v>
      </c>
      <c r="G70" s="140">
        <v>0</v>
      </c>
      <c r="H70" s="140">
        <v>0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0</v>
      </c>
      <c r="S70" s="140">
        <v>0</v>
      </c>
      <c r="T70" s="140">
        <v>0</v>
      </c>
      <c r="U70" s="140">
        <v>0</v>
      </c>
      <c r="V70" s="140">
        <v>0</v>
      </c>
      <c r="W70" s="140">
        <v>0</v>
      </c>
      <c r="X70" s="140">
        <v>0</v>
      </c>
      <c r="Y70" s="140">
        <v>0</v>
      </c>
      <c r="Z70" s="140">
        <v>0</v>
      </c>
      <c r="AA70" s="139"/>
      <c r="AB70" s="139">
        <f t="shared" si="4"/>
        <v>0</v>
      </c>
    </row>
    <row r="71" spans="1:28" x14ac:dyDescent="0.2">
      <c r="A71" s="127" t="str">
        <f>'Scenario List'!$A$4</f>
        <v>2- Alternative Lowest Reasonable Cost Portfolio</v>
      </c>
      <c r="B71" s="128" t="s">
        <v>87</v>
      </c>
      <c r="C71" s="140"/>
      <c r="D71" s="140">
        <v>0</v>
      </c>
      <c r="E71" s="140">
        <v>0</v>
      </c>
      <c r="F71" s="140">
        <v>0</v>
      </c>
      <c r="G71" s="140">
        <v>0</v>
      </c>
      <c r="H71" s="140">
        <v>0</v>
      </c>
      <c r="I71" s="140">
        <v>0</v>
      </c>
      <c r="J71" s="140">
        <v>0</v>
      </c>
      <c r="K71" s="140">
        <v>0</v>
      </c>
      <c r="L71" s="140">
        <v>0</v>
      </c>
      <c r="M71" s="140">
        <v>0</v>
      </c>
      <c r="N71" s="140">
        <v>0</v>
      </c>
      <c r="O71" s="140">
        <v>0</v>
      </c>
      <c r="P71" s="140">
        <v>0</v>
      </c>
      <c r="Q71" s="140">
        <v>0</v>
      </c>
      <c r="R71" s="140">
        <v>0</v>
      </c>
      <c r="S71" s="140">
        <v>0</v>
      </c>
      <c r="T71" s="140">
        <v>0</v>
      </c>
      <c r="U71" s="140">
        <v>0</v>
      </c>
      <c r="V71" s="140">
        <v>0</v>
      </c>
      <c r="W71" s="140">
        <v>0</v>
      </c>
      <c r="X71" s="140">
        <v>0</v>
      </c>
      <c r="Y71" s="140">
        <v>0</v>
      </c>
      <c r="Z71" s="140">
        <v>0</v>
      </c>
      <c r="AA71" s="139"/>
      <c r="AB71" s="139">
        <f t="shared" si="4"/>
        <v>0</v>
      </c>
    </row>
    <row r="72" spans="1:28" x14ac:dyDescent="0.2">
      <c r="A72" s="127" t="str">
        <f>'Scenario List'!$A$4</f>
        <v>2- Alternative Lowest Reasonable Cost Portfolio</v>
      </c>
      <c r="B72" s="128" t="s">
        <v>17</v>
      </c>
      <c r="C72" s="140"/>
      <c r="D72" s="140">
        <v>0</v>
      </c>
      <c r="E72" s="140">
        <v>0</v>
      </c>
      <c r="F72" s="140">
        <v>6.7666466459931875</v>
      </c>
      <c r="G72" s="140">
        <v>0</v>
      </c>
      <c r="H72" s="140">
        <v>0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0</v>
      </c>
      <c r="P72" s="140">
        <v>0</v>
      </c>
      <c r="Q72" s="140">
        <v>0</v>
      </c>
      <c r="R72" s="140">
        <v>0</v>
      </c>
      <c r="S72" s="140">
        <v>0</v>
      </c>
      <c r="T72" s="140">
        <v>0</v>
      </c>
      <c r="U72" s="140">
        <v>0</v>
      </c>
      <c r="V72" s="140">
        <v>0</v>
      </c>
      <c r="W72" s="140">
        <v>0</v>
      </c>
      <c r="X72" s="140">
        <v>0</v>
      </c>
      <c r="Y72" s="140">
        <v>0</v>
      </c>
      <c r="Z72" s="140">
        <v>0</v>
      </c>
      <c r="AA72" s="139"/>
      <c r="AB72" s="139">
        <f t="shared" si="4"/>
        <v>6.7666466459931875</v>
      </c>
    </row>
    <row r="73" spans="1:28" x14ac:dyDescent="0.2">
      <c r="A73" s="127" t="str">
        <f>'Scenario List'!$A$4</f>
        <v>2- Alternative Lowest Reasonable Cost Portfolio</v>
      </c>
      <c r="B73" s="128" t="s">
        <v>18</v>
      </c>
      <c r="C73" s="140"/>
      <c r="D73" s="140">
        <v>1.4932008720251979</v>
      </c>
      <c r="E73" s="140">
        <v>1.8652992315235293</v>
      </c>
      <c r="F73" s="140">
        <v>2.1054953474624059</v>
      </c>
      <c r="G73" s="140">
        <v>2.483835086030358</v>
      </c>
      <c r="H73" s="140">
        <v>2.6602511006583791</v>
      </c>
      <c r="I73" s="140">
        <v>2.8293569480573417</v>
      </c>
      <c r="J73" s="140">
        <v>2.8419199369241905</v>
      </c>
      <c r="K73" s="140">
        <v>2.7128640990466657</v>
      </c>
      <c r="L73" s="140">
        <v>3.1020978359718931</v>
      </c>
      <c r="M73" s="140">
        <v>3.2721007624856107</v>
      </c>
      <c r="N73" s="140">
        <v>3.1494237900258426</v>
      </c>
      <c r="O73" s="140">
        <v>3.2254096176621232</v>
      </c>
      <c r="P73" s="140">
        <v>3.1686250691642073</v>
      </c>
      <c r="Q73" s="140">
        <v>3.2076616587009354</v>
      </c>
      <c r="R73" s="140">
        <v>2.88301184892034</v>
      </c>
      <c r="S73" s="140">
        <v>2.5799172572946105</v>
      </c>
      <c r="T73" s="140">
        <v>2.4702160280284957</v>
      </c>
      <c r="U73" s="140">
        <v>2.4795568928589447</v>
      </c>
      <c r="V73" s="140">
        <v>2.1997740096435905</v>
      </c>
      <c r="W73" s="140">
        <v>2.2715656462141283</v>
      </c>
      <c r="X73" s="140">
        <v>1.3863749000316616</v>
      </c>
      <c r="Y73" s="140">
        <v>1.5929249321325045</v>
      </c>
      <c r="Z73" s="140">
        <v>0.88532313563965914</v>
      </c>
      <c r="AA73" s="139"/>
      <c r="AB73" s="139">
        <f t="shared" si="4"/>
        <v>56.866206006502615</v>
      </c>
    </row>
    <row r="74" spans="1:28" x14ac:dyDescent="0.2">
      <c r="A74" s="127" t="str">
        <f>'Scenario List'!$A$4</f>
        <v>2- Alternative Lowest Reasonable Cost Portfolio</v>
      </c>
      <c r="B74" s="128" t="s">
        <v>19</v>
      </c>
      <c r="C74" s="140"/>
      <c r="D74" s="140">
        <v>1.4003885337417428</v>
      </c>
      <c r="E74" s="140">
        <v>1.7819699534503379</v>
      </c>
      <c r="F74" s="140">
        <v>2.0556707264872842</v>
      </c>
      <c r="G74" s="140">
        <v>2.4937030426944169</v>
      </c>
      <c r="H74" s="140">
        <v>2.7314626470427914</v>
      </c>
      <c r="I74" s="140">
        <v>2.9594549822845782</v>
      </c>
      <c r="J74" s="140">
        <v>3.0237236161039718</v>
      </c>
      <c r="K74" s="140">
        <v>2.9534896169068858</v>
      </c>
      <c r="L74" s="140">
        <v>3.3696827790908976</v>
      </c>
      <c r="M74" s="140">
        <v>3.6170991295699828</v>
      </c>
      <c r="N74" s="140">
        <v>3.5356385336126479</v>
      </c>
      <c r="O74" s="140">
        <v>3.611127657834448</v>
      </c>
      <c r="P74" s="140">
        <v>3.523913561167511</v>
      </c>
      <c r="Q74" s="140">
        <v>3.5134039107020243</v>
      </c>
      <c r="R74" s="140">
        <v>3.1096046911383013</v>
      </c>
      <c r="S74" s="140">
        <v>2.6892370445540621</v>
      </c>
      <c r="T74" s="140">
        <v>2.5522627439541523</v>
      </c>
      <c r="U74" s="140">
        <v>2.4907986949510175</v>
      </c>
      <c r="V74" s="140">
        <v>2.1169300348650708</v>
      </c>
      <c r="W74" s="140">
        <v>2.1796683228245257</v>
      </c>
      <c r="X74" s="140">
        <v>1.373774140842265</v>
      </c>
      <c r="Y74" s="140">
        <v>1.5714645883600014</v>
      </c>
      <c r="Z74" s="140">
        <v>0.88700385856114394</v>
      </c>
      <c r="AA74" s="139"/>
      <c r="AB74" s="139">
        <f t="shared" si="4"/>
        <v>59.541472810740061</v>
      </c>
    </row>
    <row r="75" spans="1:28" x14ac:dyDescent="0.2">
      <c r="A75" s="127" t="str">
        <f>'Scenario List'!$A$4</f>
        <v>2- Alternative Lowest Reasonable Cost Portfolio</v>
      </c>
      <c r="B75" s="128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39"/>
      <c r="AB75" s="139"/>
    </row>
    <row r="76" spans="1:28" x14ac:dyDescent="0.2">
      <c r="A76" s="127" t="str">
        <f>'Scenario List'!$A$4</f>
        <v>2- Alternative Lowest Reasonable Cost Portfolio</v>
      </c>
      <c r="B76" s="132" t="s">
        <v>8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39"/>
      <c r="AB76" s="139"/>
    </row>
    <row r="77" spans="1:28" x14ac:dyDescent="0.2">
      <c r="A77" s="127" t="str">
        <f>'Scenario List'!$A$4</f>
        <v>2- Alternative Lowest Reasonable Cost Portfolio</v>
      </c>
      <c r="B77" s="128" t="s">
        <v>12</v>
      </c>
      <c r="C77" s="140"/>
      <c r="D77" s="140">
        <v>0</v>
      </c>
      <c r="E77" s="140">
        <v>0</v>
      </c>
      <c r="F77" s="140">
        <v>0</v>
      </c>
      <c r="G77" s="140">
        <v>0</v>
      </c>
      <c r="H77" s="140">
        <v>0</v>
      </c>
      <c r="I77" s="140">
        <v>0</v>
      </c>
      <c r="J77" s="140">
        <v>0</v>
      </c>
      <c r="K77" s="140">
        <v>0</v>
      </c>
      <c r="L77" s="140">
        <v>0</v>
      </c>
      <c r="M77" s="140">
        <v>0</v>
      </c>
      <c r="N77" s="140">
        <v>0</v>
      </c>
      <c r="O77" s="140">
        <v>90.348988116820081</v>
      </c>
      <c r="P77" s="140">
        <v>0</v>
      </c>
      <c r="Q77" s="140">
        <v>0</v>
      </c>
      <c r="R77" s="140">
        <v>0</v>
      </c>
      <c r="S77" s="140">
        <v>0</v>
      </c>
      <c r="T77" s="140">
        <v>0</v>
      </c>
      <c r="U77" s="140">
        <v>0</v>
      </c>
      <c r="V77" s="140">
        <v>0</v>
      </c>
      <c r="W77" s="140">
        <v>121.22089083046846</v>
      </c>
      <c r="X77" s="140">
        <v>0</v>
      </c>
      <c r="Y77" s="140">
        <v>0</v>
      </c>
      <c r="Z77" s="140">
        <v>0</v>
      </c>
      <c r="AA77" s="139"/>
      <c r="AB77" s="139">
        <f t="shared" ref="AB77:AB87" si="5">SUM(C77:Z77)</f>
        <v>211.56987894728854</v>
      </c>
    </row>
    <row r="78" spans="1:28" x14ac:dyDescent="0.2">
      <c r="A78" s="127" t="str">
        <f>'Scenario List'!$A$4</f>
        <v>2- Alternative Lowest Reasonable Cost Portfolio</v>
      </c>
      <c r="B78" s="128" t="s">
        <v>13</v>
      </c>
      <c r="C78" s="140"/>
      <c r="D78" s="140">
        <v>0</v>
      </c>
      <c r="E78" s="140">
        <v>0</v>
      </c>
      <c r="F78" s="140">
        <v>0</v>
      </c>
      <c r="G78" s="140">
        <v>0</v>
      </c>
      <c r="H78" s="140">
        <v>0</v>
      </c>
      <c r="I78" s="140">
        <v>0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40">
        <v>0</v>
      </c>
      <c r="Q78" s="140">
        <v>0</v>
      </c>
      <c r="R78" s="140">
        <v>0</v>
      </c>
      <c r="S78" s="140">
        <v>0</v>
      </c>
      <c r="T78" s="140">
        <v>0</v>
      </c>
      <c r="U78" s="140">
        <v>0</v>
      </c>
      <c r="V78" s="140">
        <v>0</v>
      </c>
      <c r="W78" s="140">
        <v>0</v>
      </c>
      <c r="X78" s="140">
        <v>0</v>
      </c>
      <c r="Y78" s="140">
        <v>0</v>
      </c>
      <c r="Z78" s="140">
        <v>0</v>
      </c>
      <c r="AA78" s="139"/>
      <c r="AB78" s="139">
        <f t="shared" si="5"/>
        <v>0</v>
      </c>
    </row>
    <row r="79" spans="1:28" x14ac:dyDescent="0.2">
      <c r="A79" s="127" t="str">
        <f>'Scenario List'!$A$4</f>
        <v>2- Alternative Lowest Reasonable Cost Portfolio</v>
      </c>
      <c r="B79" s="128" t="s">
        <v>14</v>
      </c>
      <c r="C79" s="140"/>
      <c r="D79" s="140">
        <v>0</v>
      </c>
      <c r="E79" s="140">
        <v>0</v>
      </c>
      <c r="F79" s="140">
        <v>0</v>
      </c>
      <c r="G79" s="140">
        <v>0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140">
        <v>0</v>
      </c>
      <c r="N79" s="140">
        <v>0</v>
      </c>
      <c r="O79" s="140">
        <v>0</v>
      </c>
      <c r="P79" s="140">
        <v>0</v>
      </c>
      <c r="Q79" s="140">
        <v>0</v>
      </c>
      <c r="R79" s="140">
        <v>0</v>
      </c>
      <c r="S79" s="140">
        <v>0</v>
      </c>
      <c r="T79" s="140">
        <v>0</v>
      </c>
      <c r="U79" s="140">
        <v>0</v>
      </c>
      <c r="V79" s="140">
        <v>0</v>
      </c>
      <c r="W79" s="140">
        <v>0</v>
      </c>
      <c r="X79" s="140">
        <v>0</v>
      </c>
      <c r="Y79" s="140">
        <v>0</v>
      </c>
      <c r="Z79" s="140">
        <v>0</v>
      </c>
      <c r="AA79" s="139"/>
      <c r="AB79" s="139">
        <f t="shared" si="5"/>
        <v>0</v>
      </c>
    </row>
    <row r="80" spans="1:28" x14ac:dyDescent="0.2">
      <c r="A80" s="127" t="str">
        <f>'Scenario List'!$A$4</f>
        <v>2- Alternative Lowest Reasonable Cost Portfolio</v>
      </c>
      <c r="B80" s="128" t="s">
        <v>15</v>
      </c>
      <c r="C80" s="140"/>
      <c r="D80" s="140">
        <v>0</v>
      </c>
      <c r="E80" s="140">
        <v>0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0</v>
      </c>
      <c r="T80" s="140">
        <v>0</v>
      </c>
      <c r="U80" s="140">
        <v>0</v>
      </c>
      <c r="V80" s="140">
        <v>0</v>
      </c>
      <c r="W80" s="140">
        <v>0</v>
      </c>
      <c r="X80" s="140">
        <v>0</v>
      </c>
      <c r="Y80" s="140">
        <v>0</v>
      </c>
      <c r="Z80" s="140">
        <v>0</v>
      </c>
      <c r="AA80" s="139"/>
      <c r="AB80" s="139">
        <f t="shared" si="5"/>
        <v>0</v>
      </c>
    </row>
    <row r="81" spans="1:28" x14ac:dyDescent="0.2">
      <c r="A81" s="127" t="str">
        <f>'Scenario List'!$A$4</f>
        <v>2- Alternative Lowest Reasonable Cost Portfolio</v>
      </c>
      <c r="B81" s="128" t="s">
        <v>16</v>
      </c>
      <c r="C81" s="140"/>
      <c r="D81" s="140">
        <v>0</v>
      </c>
      <c r="E81" s="140">
        <v>0</v>
      </c>
      <c r="F81" s="140">
        <v>0</v>
      </c>
      <c r="G81" s="140">
        <v>0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0</v>
      </c>
      <c r="N81" s="140">
        <v>0</v>
      </c>
      <c r="O81" s="140">
        <v>0</v>
      </c>
      <c r="P81" s="140">
        <v>0</v>
      </c>
      <c r="Q81" s="140">
        <v>0</v>
      </c>
      <c r="R81" s="140">
        <v>0</v>
      </c>
      <c r="S81" s="140">
        <v>0</v>
      </c>
      <c r="T81" s="140">
        <v>0</v>
      </c>
      <c r="U81" s="140">
        <v>0</v>
      </c>
      <c r="V81" s="140">
        <v>0</v>
      </c>
      <c r="W81" s="140">
        <v>0</v>
      </c>
      <c r="X81" s="140">
        <v>0</v>
      </c>
      <c r="Y81" s="140">
        <v>0</v>
      </c>
      <c r="Z81" s="140">
        <v>0</v>
      </c>
      <c r="AA81" s="139"/>
      <c r="AB81" s="139">
        <f t="shared" si="5"/>
        <v>0</v>
      </c>
    </row>
    <row r="82" spans="1:28" x14ac:dyDescent="0.2">
      <c r="A82" s="127" t="str">
        <f>'Scenario List'!$A$4</f>
        <v>2- Alternative Lowest Reasonable Cost Portfolio</v>
      </c>
      <c r="B82" s="128" t="s">
        <v>85</v>
      </c>
      <c r="C82" s="140"/>
      <c r="D82" s="140">
        <v>0</v>
      </c>
      <c r="E82" s="140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40">
        <v>0</v>
      </c>
      <c r="Q82" s="140">
        <v>0</v>
      </c>
      <c r="R82" s="140">
        <v>0</v>
      </c>
      <c r="S82" s="140">
        <v>0</v>
      </c>
      <c r="T82" s="140">
        <v>0</v>
      </c>
      <c r="U82" s="140">
        <v>0</v>
      </c>
      <c r="V82" s="140">
        <v>0</v>
      </c>
      <c r="W82" s="140">
        <v>0</v>
      </c>
      <c r="X82" s="140">
        <v>0</v>
      </c>
      <c r="Y82" s="140">
        <v>0</v>
      </c>
      <c r="Z82" s="140">
        <v>0</v>
      </c>
      <c r="AA82" s="139"/>
      <c r="AB82" s="139">
        <f t="shared" si="5"/>
        <v>0</v>
      </c>
    </row>
    <row r="83" spans="1:28" x14ac:dyDescent="0.2">
      <c r="A83" s="127" t="str">
        <f>'Scenario List'!$A$4</f>
        <v>2- Alternative Lowest Reasonable Cost Portfolio</v>
      </c>
      <c r="B83" s="128" t="s">
        <v>86</v>
      </c>
      <c r="C83" s="140"/>
      <c r="D83" s="140">
        <v>0</v>
      </c>
      <c r="E83" s="140">
        <v>0</v>
      </c>
      <c r="F83" s="140">
        <v>0</v>
      </c>
      <c r="G83" s="140">
        <v>0</v>
      </c>
      <c r="H83" s="140">
        <v>0</v>
      </c>
      <c r="I83" s="140">
        <v>0</v>
      </c>
      <c r="J83" s="140">
        <v>0</v>
      </c>
      <c r="K83" s="140">
        <v>0</v>
      </c>
      <c r="L83" s="140">
        <v>0</v>
      </c>
      <c r="M83" s="140">
        <v>0</v>
      </c>
      <c r="N83" s="140">
        <v>0</v>
      </c>
      <c r="O83" s="140">
        <v>0</v>
      </c>
      <c r="P83" s="140">
        <v>0</v>
      </c>
      <c r="Q83" s="140">
        <v>0</v>
      </c>
      <c r="R83" s="140">
        <v>0</v>
      </c>
      <c r="S83" s="140">
        <v>0</v>
      </c>
      <c r="T83" s="140">
        <v>0</v>
      </c>
      <c r="U83" s="140">
        <v>0</v>
      </c>
      <c r="V83" s="140">
        <v>0</v>
      </c>
      <c r="W83" s="140">
        <v>0</v>
      </c>
      <c r="X83" s="140">
        <v>0</v>
      </c>
      <c r="Y83" s="140">
        <v>0</v>
      </c>
      <c r="Z83" s="140">
        <v>0</v>
      </c>
      <c r="AA83" s="139"/>
      <c r="AB83" s="139">
        <f t="shared" si="5"/>
        <v>0</v>
      </c>
    </row>
    <row r="84" spans="1:28" x14ac:dyDescent="0.2">
      <c r="A84" s="127" t="str">
        <f>'Scenario List'!$A$4</f>
        <v>2- Alternative Lowest Reasonable Cost Portfolio</v>
      </c>
      <c r="B84" s="128" t="s">
        <v>87</v>
      </c>
      <c r="C84" s="140"/>
      <c r="D84" s="140">
        <v>0</v>
      </c>
      <c r="E84" s="140">
        <v>0</v>
      </c>
      <c r="F84" s="140">
        <v>0</v>
      </c>
      <c r="G84" s="140">
        <v>0</v>
      </c>
      <c r="H84" s="140">
        <v>0</v>
      </c>
      <c r="I84" s="140">
        <v>0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  <c r="R84" s="140">
        <v>0</v>
      </c>
      <c r="S84" s="140">
        <v>0</v>
      </c>
      <c r="T84" s="140">
        <v>0</v>
      </c>
      <c r="U84" s="140">
        <v>0</v>
      </c>
      <c r="V84" s="140">
        <v>0</v>
      </c>
      <c r="W84" s="140">
        <v>0</v>
      </c>
      <c r="X84" s="140">
        <v>0</v>
      </c>
      <c r="Y84" s="140">
        <v>0</v>
      </c>
      <c r="Z84" s="140">
        <v>0</v>
      </c>
      <c r="AA84" s="139"/>
      <c r="AB84" s="139">
        <f t="shared" si="5"/>
        <v>0</v>
      </c>
    </row>
    <row r="85" spans="1:28" x14ac:dyDescent="0.2">
      <c r="A85" s="127" t="str">
        <f>'Scenario List'!$A$4</f>
        <v>2- Alternative Lowest Reasonable Cost Portfolio</v>
      </c>
      <c r="B85" s="128" t="s">
        <v>17</v>
      </c>
      <c r="C85" s="140"/>
      <c r="D85" s="140">
        <v>0</v>
      </c>
      <c r="E85" s="140">
        <v>0</v>
      </c>
      <c r="F85" s="140">
        <v>0</v>
      </c>
      <c r="G85" s="140">
        <v>0</v>
      </c>
      <c r="H85" s="140">
        <v>0</v>
      </c>
      <c r="I85" s="140">
        <v>0</v>
      </c>
      <c r="J85" s="140">
        <v>0</v>
      </c>
      <c r="K85" s="140">
        <v>0</v>
      </c>
      <c r="L85" s="140">
        <v>0</v>
      </c>
      <c r="M85" s="140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0</v>
      </c>
      <c r="X85" s="140">
        <v>0</v>
      </c>
      <c r="Y85" s="140">
        <v>0</v>
      </c>
      <c r="Z85" s="140">
        <v>0</v>
      </c>
      <c r="AA85" s="139"/>
      <c r="AB85" s="139">
        <f t="shared" si="5"/>
        <v>0</v>
      </c>
    </row>
    <row r="86" spans="1:28" x14ac:dyDescent="0.2">
      <c r="A86" s="127" t="str">
        <f>'Scenario List'!$A$4</f>
        <v>2- Alternative Lowest Reasonable Cost Portfolio</v>
      </c>
      <c r="B86" s="128" t="s">
        <v>18</v>
      </c>
      <c r="C86" s="140"/>
      <c r="D86" s="140">
        <v>0.6851663470536713</v>
      </c>
      <c r="E86" s="140">
        <v>0.84118845703379908</v>
      </c>
      <c r="F86" s="140">
        <v>0.97647991745160656</v>
      </c>
      <c r="G86" s="140">
        <v>1.1339998017797255</v>
      </c>
      <c r="H86" s="140">
        <v>1.2205882253917495</v>
      </c>
      <c r="I86" s="140">
        <v>1.2923584003394897</v>
      </c>
      <c r="J86" s="140">
        <v>1.2857937602328038</v>
      </c>
      <c r="K86" s="140">
        <v>1.2737281611266926</v>
      </c>
      <c r="L86" s="140">
        <v>1.3880067186458191</v>
      </c>
      <c r="M86" s="140">
        <v>1.449346177612707</v>
      </c>
      <c r="N86" s="140">
        <v>1.3733292154671997</v>
      </c>
      <c r="O86" s="140">
        <v>1.4069037460842573</v>
      </c>
      <c r="P86" s="140">
        <v>1.3760803399774701</v>
      </c>
      <c r="Q86" s="140">
        <v>1.3920812281516781</v>
      </c>
      <c r="R86" s="140">
        <v>1.2528844670264476</v>
      </c>
      <c r="S86" s="140">
        <v>1.1125902562808534</v>
      </c>
      <c r="T86" s="140">
        <v>1.0732933238843074</v>
      </c>
      <c r="U86" s="140">
        <v>1.0821030420561115</v>
      </c>
      <c r="V86" s="140">
        <v>0.93597948126646813</v>
      </c>
      <c r="W86" s="140">
        <v>0.98686779813235859</v>
      </c>
      <c r="X86" s="140">
        <v>0.56784389238505284</v>
      </c>
      <c r="Y86" s="140">
        <v>0.62629395208852046</v>
      </c>
      <c r="Z86" s="140">
        <v>0.38528413616108992</v>
      </c>
      <c r="AA86" s="139"/>
      <c r="AB86" s="139">
        <f>SUM(C86:Z86)</f>
        <v>25.118190845629879</v>
      </c>
    </row>
    <row r="87" spans="1:28" x14ac:dyDescent="0.2">
      <c r="A87" s="127" t="str">
        <f>'Scenario List'!$A$4</f>
        <v>2- Alternative Lowest Reasonable Cost Portfolio</v>
      </c>
      <c r="B87" s="128" t="s">
        <v>19</v>
      </c>
      <c r="C87" s="140"/>
      <c r="D87" s="140">
        <v>0.63214676848932627</v>
      </c>
      <c r="E87" s="140">
        <v>0.79378482491506741</v>
      </c>
      <c r="F87" s="140">
        <v>0.93930744609205319</v>
      </c>
      <c r="G87" s="140">
        <v>1.119770705018075</v>
      </c>
      <c r="H87" s="140">
        <v>1.2282248306752512</v>
      </c>
      <c r="I87" s="140">
        <v>1.3240199481111405</v>
      </c>
      <c r="J87" s="140">
        <v>1.3397931489234258</v>
      </c>
      <c r="K87" s="140">
        <v>1.3458725773346814</v>
      </c>
      <c r="L87" s="140">
        <v>1.4738082024864543</v>
      </c>
      <c r="M87" s="140">
        <v>1.5582674173671744</v>
      </c>
      <c r="N87" s="140">
        <v>1.497935968451646</v>
      </c>
      <c r="O87" s="140">
        <v>1.5362385923985578</v>
      </c>
      <c r="P87" s="140">
        <v>1.4980126814673973</v>
      </c>
      <c r="Q87" s="140">
        <v>1.4989022177110591</v>
      </c>
      <c r="R87" s="140">
        <v>1.3327576389136269</v>
      </c>
      <c r="S87" s="140">
        <v>1.172597718091577</v>
      </c>
      <c r="T87" s="140">
        <v>1.1326594249426414</v>
      </c>
      <c r="U87" s="140">
        <v>1.1119636170433829</v>
      </c>
      <c r="V87" s="140">
        <v>0.93698927528321718</v>
      </c>
      <c r="W87" s="140">
        <v>0.97357013503233603</v>
      </c>
      <c r="X87" s="140">
        <v>0.59158069473851072</v>
      </c>
      <c r="Y87" s="140">
        <v>0.65018398472918193</v>
      </c>
      <c r="Z87" s="140">
        <v>0.40764135161915505</v>
      </c>
      <c r="AA87" s="139"/>
      <c r="AB87" s="139">
        <f t="shared" si="5"/>
        <v>26.096029169834939</v>
      </c>
    </row>
    <row r="88" spans="1:28" x14ac:dyDescent="0.2">
      <c r="A88" s="127" t="str">
        <f>'Scenario List'!$A$4</f>
        <v>2- Alternative Lowest Reasonable Cost Portfolio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39"/>
      <c r="AB88" s="139"/>
    </row>
    <row r="89" spans="1:28" x14ac:dyDescent="0.2">
      <c r="A89" s="127" t="str">
        <f>'Scenario List'!$A$4</f>
        <v>2- Alternative Lowest Reasonable Cost Portfolio</v>
      </c>
      <c r="B89" s="131" t="s">
        <v>31</v>
      </c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39"/>
      <c r="AB89" s="139"/>
    </row>
    <row r="90" spans="1:28" x14ac:dyDescent="0.2">
      <c r="A90" s="127" t="str">
        <f>'Scenario List'!$A$4</f>
        <v>2- Alternative Lowest Reasonable Cost Portfolio</v>
      </c>
      <c r="B90" s="128" t="s">
        <v>1</v>
      </c>
      <c r="C90" s="140"/>
      <c r="D90" s="140">
        <v>20.148554287225139</v>
      </c>
      <c r="E90" s="140">
        <v>43.883834691147491</v>
      </c>
      <c r="F90" s="140">
        <v>71.013684179705223</v>
      </c>
      <c r="G90" s="140">
        <v>100.25235562725116</v>
      </c>
      <c r="H90" s="140">
        <v>132.15455206729155</v>
      </c>
      <c r="I90" s="140">
        <v>166.84180059066964</v>
      </c>
      <c r="J90" s="140">
        <v>203.14843808578306</v>
      </c>
      <c r="K90" s="140">
        <v>238.38528889098362</v>
      </c>
      <c r="L90" s="140">
        <v>273.72696103241475</v>
      </c>
      <c r="M90" s="140">
        <v>307.38380743292151</v>
      </c>
      <c r="N90" s="140">
        <v>337.5303289200445</v>
      </c>
      <c r="O90" s="140">
        <v>364.36209563498346</v>
      </c>
      <c r="P90" s="140">
        <v>388.13399034635717</v>
      </c>
      <c r="Q90" s="140">
        <v>409.3315984921511</v>
      </c>
      <c r="R90" s="140">
        <v>428.40425186293982</v>
      </c>
      <c r="S90" s="140">
        <v>443.59207221722772</v>
      </c>
      <c r="T90" s="140">
        <v>457.47053111877818</v>
      </c>
      <c r="U90" s="140">
        <v>469.85668508410947</v>
      </c>
      <c r="V90" s="140">
        <v>481.65803423123162</v>
      </c>
      <c r="W90" s="140">
        <v>492.85963657006459</v>
      </c>
      <c r="X90" s="140">
        <v>499.26524384366144</v>
      </c>
      <c r="Y90" s="140">
        <v>505.53209719801237</v>
      </c>
      <c r="Z90" s="140">
        <v>510.31628174036598</v>
      </c>
      <c r="AA90" s="139"/>
      <c r="AB90" s="139">
        <f>Z90/8.76</f>
        <v>58.255283303694746</v>
      </c>
    </row>
    <row r="91" spans="1:28" x14ac:dyDescent="0.2">
      <c r="A91" s="127" t="str">
        <f>'Scenario List'!$A$4</f>
        <v>2- Alternative Lowest Reasonable Cost Portfolio</v>
      </c>
      <c r="B91" s="128" t="s">
        <v>2</v>
      </c>
      <c r="C91" s="140"/>
      <c r="D91" s="140">
        <v>8.1590441074309172</v>
      </c>
      <c r="E91" s="140">
        <v>17.661321644777942</v>
      </c>
      <c r="F91" s="140">
        <v>28.51759473136115</v>
      </c>
      <c r="G91" s="140">
        <v>40.117303950663079</v>
      </c>
      <c r="H91" s="140">
        <v>52.687751697125464</v>
      </c>
      <c r="I91" s="140">
        <v>66.088625067443544</v>
      </c>
      <c r="J91" s="140">
        <v>79.919663471861071</v>
      </c>
      <c r="K91" s="140">
        <v>93.406410713932928</v>
      </c>
      <c r="L91" s="140">
        <v>107.07568577977979</v>
      </c>
      <c r="M91" s="140">
        <v>120.39892054620523</v>
      </c>
      <c r="N91" s="140">
        <v>131.94286089665806</v>
      </c>
      <c r="O91" s="140">
        <v>142.64813131739746</v>
      </c>
      <c r="P91" s="140">
        <v>152.59842079764684</v>
      </c>
      <c r="Q91" s="140">
        <v>161.90028508686737</v>
      </c>
      <c r="R91" s="140">
        <v>170.59361808668649</v>
      </c>
      <c r="S91" s="140">
        <v>177.70695204064262</v>
      </c>
      <c r="T91" s="140">
        <v>184.35030045193878</v>
      </c>
      <c r="U91" s="140">
        <v>190.37873307265068</v>
      </c>
      <c r="V91" s="140">
        <v>196.07412936756364</v>
      </c>
      <c r="W91" s="140">
        <v>201.52568553231282</v>
      </c>
      <c r="X91" s="140">
        <v>204.41522345410257</v>
      </c>
      <c r="Y91" s="140">
        <v>207.18879844939627</v>
      </c>
      <c r="Z91" s="140">
        <v>209.45725031598633</v>
      </c>
      <c r="AA91" s="139"/>
      <c r="AB91" s="139">
        <f>Z91/8.76</f>
        <v>23.910645013240448</v>
      </c>
    </row>
    <row r="92" spans="1:28" x14ac:dyDescent="0.2">
      <c r="A92" s="127" t="str">
        <f>'Scenario List'!$A$4</f>
        <v>2- Alternative Lowest Reasonable Cost Portfolio</v>
      </c>
      <c r="B92" s="128" t="s">
        <v>4</v>
      </c>
      <c r="C92" s="140"/>
      <c r="D92" s="140">
        <v>28.307598394656054</v>
      </c>
      <c r="E92" s="140">
        <v>61.545156335925434</v>
      </c>
      <c r="F92" s="140">
        <v>99.53127891106638</v>
      </c>
      <c r="G92" s="140">
        <v>140.36965957791423</v>
      </c>
      <c r="H92" s="140">
        <v>184.84230376441701</v>
      </c>
      <c r="I92" s="140">
        <v>232.93042565811317</v>
      </c>
      <c r="J92" s="140">
        <v>283.06810155764413</v>
      </c>
      <c r="K92" s="140">
        <v>331.79169960491652</v>
      </c>
      <c r="L92" s="140">
        <v>380.80264681219455</v>
      </c>
      <c r="M92" s="140">
        <v>427.78272797912678</v>
      </c>
      <c r="N92" s="140">
        <v>469.47318981670253</v>
      </c>
      <c r="O92" s="140">
        <v>507.01022695238089</v>
      </c>
      <c r="P92" s="140">
        <v>540.732411144004</v>
      </c>
      <c r="Q92" s="140">
        <v>571.23188357901847</v>
      </c>
      <c r="R92" s="140">
        <v>598.99786994962631</v>
      </c>
      <c r="S92" s="140">
        <v>621.29902425787031</v>
      </c>
      <c r="T92" s="140">
        <v>641.82083157071702</v>
      </c>
      <c r="U92" s="140">
        <v>660.23541815676015</v>
      </c>
      <c r="V92" s="140">
        <v>677.7321635987953</v>
      </c>
      <c r="W92" s="140">
        <v>694.38532210237736</v>
      </c>
      <c r="X92" s="140">
        <v>703.68046729776404</v>
      </c>
      <c r="Y92" s="140">
        <v>712.72089564740861</v>
      </c>
      <c r="Z92" s="140">
        <v>719.77353205635234</v>
      </c>
      <c r="AA92" s="139"/>
      <c r="AB92" s="139">
        <f>Z92/8.76</f>
        <v>82.165928316935194</v>
      </c>
    </row>
    <row r="93" spans="1:28" x14ac:dyDescent="0.2">
      <c r="A93" s="127" t="str">
        <f>'Scenario List'!$A$4</f>
        <v>2- Alternative Lowest Reasonable Cost Portfolio</v>
      </c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39"/>
      <c r="AB93" s="139"/>
    </row>
    <row r="94" spans="1:28" x14ac:dyDescent="0.2">
      <c r="A94" s="127" t="str">
        <f>'Scenario List'!$A$4</f>
        <v>2- Alternative Lowest Reasonable Cost Portfolio</v>
      </c>
      <c r="B94" s="141" t="s">
        <v>32</v>
      </c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39"/>
      <c r="AB94" s="139"/>
    </row>
    <row r="95" spans="1:28" x14ac:dyDescent="0.2">
      <c r="A95" s="127" t="str">
        <f>'Scenario List'!$A$4</f>
        <v>2- Alternative Lowest Reasonable Cost Portfolio</v>
      </c>
      <c r="B95" s="128" t="s">
        <v>1</v>
      </c>
      <c r="C95" s="140"/>
      <c r="D95" s="140">
        <v>2.4249241769261389</v>
      </c>
      <c r="E95" s="140">
        <v>5.2834353783678436</v>
      </c>
      <c r="F95" s="140">
        <v>8.5477083815819981</v>
      </c>
      <c r="G95" s="140">
        <v>12.068156863568541</v>
      </c>
      <c r="H95" s="140">
        <v>15.909670341794556</v>
      </c>
      <c r="I95" s="140">
        <v>20.093297899058058</v>
      </c>
      <c r="J95" s="140">
        <v>24.45987073458587</v>
      </c>
      <c r="K95" s="140">
        <v>28.704544880585004</v>
      </c>
      <c r="L95" s="140">
        <v>32.962929971446165</v>
      </c>
      <c r="M95" s="140">
        <v>37.031253928689623</v>
      </c>
      <c r="N95" s="140">
        <v>40.653473653762113</v>
      </c>
      <c r="O95" s="140">
        <v>43.889197985993526</v>
      </c>
      <c r="P95" s="140">
        <v>46.756992886675718</v>
      </c>
      <c r="Q95" s="140">
        <v>49.33188864094118</v>
      </c>
      <c r="R95" s="140">
        <v>51.618150209258602</v>
      </c>
      <c r="S95" s="140">
        <v>53.453475057492319</v>
      </c>
      <c r="T95" s="140">
        <v>55.131519610194623</v>
      </c>
      <c r="U95" s="140">
        <v>56.65004397610727</v>
      </c>
      <c r="V95" s="140">
        <v>58.058982382776122</v>
      </c>
      <c r="W95" s="140">
        <v>59.415973062098637</v>
      </c>
      <c r="X95" s="140">
        <v>60.195284185141539</v>
      </c>
      <c r="Y95" s="140">
        <v>60.980634308608494</v>
      </c>
      <c r="Z95" s="140">
        <v>61.543148622154547</v>
      </c>
      <c r="AA95" s="139"/>
      <c r="AB95" s="139">
        <f>Z95</f>
        <v>61.543148622154547</v>
      </c>
    </row>
    <row r="96" spans="1:28" x14ac:dyDescent="0.2">
      <c r="A96" s="127" t="str">
        <f>'Scenario List'!$A$4</f>
        <v>2- Alternative Lowest Reasonable Cost Portfolio</v>
      </c>
      <c r="B96" s="128" t="s">
        <v>2</v>
      </c>
      <c r="C96" s="140"/>
      <c r="D96" s="140">
        <v>0.9819594515156046</v>
      </c>
      <c r="E96" s="140">
        <v>2.1263513606657778</v>
      </c>
      <c r="F96" s="140">
        <v>3.4325790349218046</v>
      </c>
      <c r="G96" s="140">
        <v>4.829232330661144</v>
      </c>
      <c r="H96" s="140">
        <v>6.342912502361389</v>
      </c>
      <c r="I96" s="140">
        <v>7.9592669613849871</v>
      </c>
      <c r="J96" s="140">
        <v>9.6226417298264728</v>
      </c>
      <c r="K96" s="140">
        <v>11.247290136676943</v>
      </c>
      <c r="L96" s="140">
        <v>12.894339376330155</v>
      </c>
      <c r="M96" s="140">
        <v>14.504742578086544</v>
      </c>
      <c r="N96" s="140">
        <v>15.891714491040355</v>
      </c>
      <c r="O96" s="140">
        <v>17.182665685382428</v>
      </c>
      <c r="P96" s="140">
        <v>18.382938503753454</v>
      </c>
      <c r="Q96" s="140">
        <v>19.51192349738697</v>
      </c>
      <c r="R96" s="140">
        <v>20.554714302781267</v>
      </c>
      <c r="S96" s="140">
        <v>21.413940246875679</v>
      </c>
      <c r="T96" s="140">
        <v>22.216758267807343</v>
      </c>
      <c r="U96" s="140">
        <v>22.95373023957427</v>
      </c>
      <c r="V96" s="140">
        <v>23.634744182849953</v>
      </c>
      <c r="W96" s="140">
        <v>24.294634444479744</v>
      </c>
      <c r="X96" s="140">
        <v>24.645882362766702</v>
      </c>
      <c r="Y96" s="140">
        <v>24.992486967912154</v>
      </c>
      <c r="Z96" s="140">
        <v>25.260136012558117</v>
      </c>
      <c r="AA96" s="139"/>
      <c r="AB96" s="139">
        <f>Z96</f>
        <v>25.260136012558117</v>
      </c>
    </row>
    <row r="97" spans="1:28" x14ac:dyDescent="0.2">
      <c r="A97" s="127" t="str">
        <f>'Scenario List'!$A$4</f>
        <v>2- Alternative Lowest Reasonable Cost Portfolio</v>
      </c>
      <c r="B97" s="128" t="s">
        <v>4</v>
      </c>
      <c r="C97" s="140"/>
      <c r="D97" s="140">
        <v>3.4068836284417436</v>
      </c>
      <c r="E97" s="140">
        <v>7.4097867390336214</v>
      </c>
      <c r="F97" s="140">
        <v>11.980287416503803</v>
      </c>
      <c r="G97" s="140">
        <v>16.897389194229685</v>
      </c>
      <c r="H97" s="140">
        <v>22.252582844155945</v>
      </c>
      <c r="I97" s="140">
        <v>28.052564860443045</v>
      </c>
      <c r="J97" s="140">
        <v>34.082512464412346</v>
      </c>
      <c r="K97" s="140">
        <v>39.951835017261949</v>
      </c>
      <c r="L97" s="140">
        <v>45.857269347776324</v>
      </c>
      <c r="M97" s="140">
        <v>51.535996506776165</v>
      </c>
      <c r="N97" s="140">
        <v>56.545188144802466</v>
      </c>
      <c r="O97" s="140">
        <v>61.071863671375951</v>
      </c>
      <c r="P97" s="140">
        <v>65.139931390429169</v>
      </c>
      <c r="Q97" s="140">
        <v>68.843812138328147</v>
      </c>
      <c r="R97" s="140">
        <v>72.172864512039865</v>
      </c>
      <c r="S97" s="140">
        <v>74.867415304367995</v>
      </c>
      <c r="T97" s="140">
        <v>77.348277878001966</v>
      </c>
      <c r="U97" s="140">
        <v>79.60377421568154</v>
      </c>
      <c r="V97" s="140">
        <v>81.693726565626079</v>
      </c>
      <c r="W97" s="140">
        <v>83.710607506578384</v>
      </c>
      <c r="X97" s="140">
        <v>84.841166547908244</v>
      </c>
      <c r="Y97" s="140">
        <v>85.973121276520644</v>
      </c>
      <c r="Z97" s="140">
        <v>86.803284634712668</v>
      </c>
      <c r="AA97" s="139"/>
      <c r="AB97" s="139">
        <f>Z97</f>
        <v>86.803284634712668</v>
      </c>
    </row>
    <row r="98" spans="1:28" x14ac:dyDescent="0.2">
      <c r="B98" s="128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39"/>
      <c r="AB98" s="139"/>
    </row>
    <row r="99" spans="1:28" x14ac:dyDescent="0.2">
      <c r="B99" s="131" t="s">
        <v>11</v>
      </c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39"/>
      <c r="AB99" s="139"/>
    </row>
    <row r="100" spans="1:28" x14ac:dyDescent="0.2">
      <c r="A100" s="127" t="str">
        <f>'Scenario List'!$A$5</f>
        <v>3- Baseline Portfolio</v>
      </c>
      <c r="B100" s="128" t="s">
        <v>12</v>
      </c>
      <c r="C100" s="140"/>
      <c r="D100" s="140">
        <v>0</v>
      </c>
      <c r="E100" s="140">
        <v>0</v>
      </c>
      <c r="F100" s="140">
        <v>0</v>
      </c>
      <c r="G100" s="140">
        <v>0</v>
      </c>
      <c r="H100" s="140">
        <v>0</v>
      </c>
      <c r="I100" s="140">
        <v>0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40">
        <v>114.14070090217541</v>
      </c>
      <c r="R100" s="140">
        <v>0</v>
      </c>
      <c r="S100" s="140">
        <v>90.611799097824488</v>
      </c>
      <c r="T100" s="140">
        <v>0</v>
      </c>
      <c r="U100" s="140">
        <v>0</v>
      </c>
      <c r="V100" s="140">
        <v>0</v>
      </c>
      <c r="W100" s="140">
        <v>0</v>
      </c>
      <c r="X100" s="140">
        <v>0</v>
      </c>
      <c r="Y100" s="140">
        <v>0</v>
      </c>
      <c r="Z100" s="140">
        <v>0</v>
      </c>
      <c r="AA100" s="139"/>
      <c r="AB100" s="139">
        <f>SUM(C100:Z100)</f>
        <v>204.75249999999988</v>
      </c>
    </row>
    <row r="101" spans="1:28" x14ac:dyDescent="0.2">
      <c r="A101" s="127" t="str">
        <f>'Scenario List'!$A$5</f>
        <v>3- Baseline Portfolio</v>
      </c>
      <c r="B101" s="128" t="s">
        <v>13</v>
      </c>
      <c r="C101" s="140"/>
      <c r="D101" s="140">
        <v>0</v>
      </c>
      <c r="E101" s="140">
        <v>0</v>
      </c>
      <c r="F101" s="140">
        <v>0</v>
      </c>
      <c r="G101" s="140">
        <v>0</v>
      </c>
      <c r="H101" s="140">
        <v>0</v>
      </c>
      <c r="I101" s="140">
        <v>0</v>
      </c>
      <c r="J101" s="140">
        <v>0</v>
      </c>
      <c r="K101" s="140">
        <v>0</v>
      </c>
      <c r="L101" s="140">
        <v>0</v>
      </c>
      <c r="M101" s="140">
        <v>0</v>
      </c>
      <c r="N101" s="140">
        <v>0</v>
      </c>
      <c r="O101" s="140">
        <v>0</v>
      </c>
      <c r="P101" s="140">
        <v>0</v>
      </c>
      <c r="Q101" s="140">
        <v>0</v>
      </c>
      <c r="R101" s="140">
        <v>0</v>
      </c>
      <c r="S101" s="140">
        <v>0</v>
      </c>
      <c r="T101" s="140">
        <v>0</v>
      </c>
      <c r="U101" s="140">
        <v>0</v>
      </c>
      <c r="V101" s="140">
        <v>0</v>
      </c>
      <c r="W101" s="140">
        <v>0</v>
      </c>
      <c r="X101" s="140">
        <v>0</v>
      </c>
      <c r="Y101" s="140">
        <v>0</v>
      </c>
      <c r="Z101" s="140">
        <v>0</v>
      </c>
      <c r="AA101" s="139"/>
      <c r="AB101" s="139">
        <f t="shared" ref="AB101:AB108" si="6">SUM(C101:Z101)</f>
        <v>0</v>
      </c>
    </row>
    <row r="102" spans="1:28" x14ac:dyDescent="0.2">
      <c r="A102" s="127" t="str">
        <f>'Scenario List'!$A$5</f>
        <v>3- Baseline Portfolio</v>
      </c>
      <c r="B102" s="128" t="s">
        <v>14</v>
      </c>
      <c r="C102" s="140"/>
      <c r="D102" s="140">
        <v>0</v>
      </c>
      <c r="E102" s="140">
        <v>0</v>
      </c>
      <c r="F102" s="140">
        <v>0</v>
      </c>
      <c r="G102" s="140">
        <v>0</v>
      </c>
      <c r="H102" s="140">
        <v>0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40">
        <v>0</v>
      </c>
      <c r="Q102" s="140">
        <v>0</v>
      </c>
      <c r="R102" s="140">
        <v>0</v>
      </c>
      <c r="S102" s="140">
        <v>0</v>
      </c>
      <c r="T102" s="140">
        <v>0</v>
      </c>
      <c r="U102" s="140">
        <v>0</v>
      </c>
      <c r="V102" s="140">
        <v>0</v>
      </c>
      <c r="W102" s="140">
        <v>0</v>
      </c>
      <c r="X102" s="140">
        <v>0</v>
      </c>
      <c r="Y102" s="140">
        <v>0</v>
      </c>
      <c r="Z102" s="140">
        <v>0</v>
      </c>
      <c r="AA102" s="139"/>
      <c r="AB102" s="139">
        <f t="shared" si="6"/>
        <v>0</v>
      </c>
    </row>
    <row r="103" spans="1:28" ht="12" customHeight="1" x14ac:dyDescent="0.2">
      <c r="A103" s="127" t="str">
        <f>'Scenario List'!$A$5</f>
        <v>3- Baseline Portfolio</v>
      </c>
      <c r="B103" s="128" t="s">
        <v>15</v>
      </c>
      <c r="C103" s="140"/>
      <c r="D103" s="140">
        <v>0</v>
      </c>
      <c r="E103" s="140">
        <v>0</v>
      </c>
      <c r="F103" s="140">
        <v>0</v>
      </c>
      <c r="G103" s="140">
        <v>0</v>
      </c>
      <c r="H103" s="140">
        <v>0</v>
      </c>
      <c r="I103" s="140">
        <v>0</v>
      </c>
      <c r="J103" s="140">
        <v>0</v>
      </c>
      <c r="K103" s="140">
        <v>0</v>
      </c>
      <c r="L103" s="140">
        <v>0</v>
      </c>
      <c r="M103" s="140">
        <v>100</v>
      </c>
      <c r="N103" s="140">
        <v>0</v>
      </c>
      <c r="O103" s="140">
        <v>0</v>
      </c>
      <c r="P103" s="140">
        <v>0</v>
      </c>
      <c r="Q103" s="140">
        <v>0</v>
      </c>
      <c r="R103" s="140">
        <v>0</v>
      </c>
      <c r="S103" s="140">
        <v>0</v>
      </c>
      <c r="T103" s="140">
        <v>0</v>
      </c>
      <c r="U103" s="140">
        <v>0</v>
      </c>
      <c r="V103" s="140">
        <v>0</v>
      </c>
      <c r="W103" s="140">
        <v>0</v>
      </c>
      <c r="X103" s="140">
        <v>0</v>
      </c>
      <c r="Y103" s="140">
        <v>0</v>
      </c>
      <c r="Z103" s="140">
        <v>0</v>
      </c>
      <c r="AA103" s="139"/>
      <c r="AB103" s="139">
        <f t="shared" si="6"/>
        <v>100</v>
      </c>
    </row>
    <row r="104" spans="1:28" x14ac:dyDescent="0.2">
      <c r="A104" s="127" t="str">
        <f>'Scenario List'!$A$5</f>
        <v>3- Baseline Portfolio</v>
      </c>
      <c r="B104" s="128" t="s">
        <v>16</v>
      </c>
      <c r="C104" s="140"/>
      <c r="D104" s="140">
        <v>0</v>
      </c>
      <c r="E104" s="140">
        <v>0</v>
      </c>
      <c r="F104" s="140">
        <v>0</v>
      </c>
      <c r="G104" s="140">
        <v>0</v>
      </c>
      <c r="H104" s="140">
        <v>0</v>
      </c>
      <c r="I104" s="140">
        <v>0</v>
      </c>
      <c r="J104" s="140">
        <v>0</v>
      </c>
      <c r="K104" s="140">
        <v>0</v>
      </c>
      <c r="L104" s="140">
        <v>0</v>
      </c>
      <c r="M104" s="140">
        <v>0</v>
      </c>
      <c r="N104" s="140">
        <v>0</v>
      </c>
      <c r="O104" s="140">
        <v>0</v>
      </c>
      <c r="P104" s="140">
        <v>0</v>
      </c>
      <c r="Q104" s="140">
        <v>0</v>
      </c>
      <c r="R104" s="140">
        <v>0</v>
      </c>
      <c r="S104" s="140">
        <v>0</v>
      </c>
      <c r="T104" s="140">
        <v>0</v>
      </c>
      <c r="U104" s="140">
        <v>0</v>
      </c>
      <c r="V104" s="140">
        <v>0</v>
      </c>
      <c r="W104" s="140">
        <v>0</v>
      </c>
      <c r="X104" s="140">
        <v>67.748205588159266</v>
      </c>
      <c r="Y104" s="140">
        <v>59.675933889500541</v>
      </c>
      <c r="Z104" s="140">
        <v>0</v>
      </c>
      <c r="AA104" s="139"/>
      <c r="AB104" s="139">
        <f t="shared" si="6"/>
        <v>127.42413947765981</v>
      </c>
    </row>
    <row r="105" spans="1:28" x14ac:dyDescent="0.2">
      <c r="A105" s="127" t="str">
        <f>'Scenario List'!$A$5</f>
        <v>3- Baseline Portfolio</v>
      </c>
      <c r="B105" s="128" t="s">
        <v>85</v>
      </c>
      <c r="C105" s="140"/>
      <c r="D105" s="140">
        <v>0</v>
      </c>
      <c r="E105" s="140">
        <v>0</v>
      </c>
      <c r="F105" s="140">
        <v>0</v>
      </c>
      <c r="G105" s="140">
        <v>0</v>
      </c>
      <c r="H105" s="140">
        <v>0</v>
      </c>
      <c r="I105" s="140">
        <v>0</v>
      </c>
      <c r="J105" s="140">
        <v>0</v>
      </c>
      <c r="K105" s="140">
        <v>0</v>
      </c>
      <c r="L105" s="140">
        <v>0</v>
      </c>
      <c r="M105" s="140">
        <v>0</v>
      </c>
      <c r="N105" s="140">
        <v>0</v>
      </c>
      <c r="O105" s="140">
        <v>0</v>
      </c>
      <c r="P105" s="140">
        <v>0</v>
      </c>
      <c r="Q105" s="140">
        <v>0</v>
      </c>
      <c r="R105" s="140">
        <v>0</v>
      </c>
      <c r="S105" s="140">
        <v>0</v>
      </c>
      <c r="T105" s="140">
        <v>0</v>
      </c>
      <c r="U105" s="140">
        <v>0</v>
      </c>
      <c r="V105" s="140">
        <v>0</v>
      </c>
      <c r="W105" s="140">
        <v>0</v>
      </c>
      <c r="X105" s="140">
        <v>0</v>
      </c>
      <c r="Y105" s="140">
        <v>0</v>
      </c>
      <c r="Z105" s="140">
        <v>0</v>
      </c>
      <c r="AA105" s="139"/>
      <c r="AB105" s="139">
        <f t="shared" si="6"/>
        <v>0</v>
      </c>
    </row>
    <row r="106" spans="1:28" x14ac:dyDescent="0.2">
      <c r="A106" s="127" t="str">
        <f>'Scenario List'!$A$5</f>
        <v>3- Baseline Portfolio</v>
      </c>
      <c r="B106" s="128" t="s">
        <v>86</v>
      </c>
      <c r="C106" s="140"/>
      <c r="D106" s="140">
        <v>0</v>
      </c>
      <c r="E106" s="140">
        <v>0</v>
      </c>
      <c r="F106" s="140">
        <v>0</v>
      </c>
      <c r="G106" s="140">
        <v>0</v>
      </c>
      <c r="H106" s="140">
        <v>0</v>
      </c>
      <c r="I106" s="140">
        <v>0</v>
      </c>
      <c r="J106" s="140">
        <v>0</v>
      </c>
      <c r="K106" s="140">
        <v>0</v>
      </c>
      <c r="L106" s="140">
        <v>0</v>
      </c>
      <c r="M106" s="140">
        <v>0</v>
      </c>
      <c r="N106" s="140">
        <v>0</v>
      </c>
      <c r="O106" s="140">
        <v>0</v>
      </c>
      <c r="P106" s="140">
        <v>0</v>
      </c>
      <c r="Q106" s="140">
        <v>0</v>
      </c>
      <c r="R106" s="140">
        <v>0</v>
      </c>
      <c r="S106" s="140">
        <v>0</v>
      </c>
      <c r="T106" s="140">
        <v>0</v>
      </c>
      <c r="U106" s="140">
        <v>0</v>
      </c>
      <c r="V106" s="140">
        <v>0</v>
      </c>
      <c r="W106" s="140">
        <v>0</v>
      </c>
      <c r="X106" s="140">
        <v>0</v>
      </c>
      <c r="Y106" s="140">
        <v>0</v>
      </c>
      <c r="Z106" s="140">
        <v>0</v>
      </c>
      <c r="AA106" s="139"/>
      <c r="AB106" s="139">
        <f t="shared" si="6"/>
        <v>0</v>
      </c>
    </row>
    <row r="107" spans="1:28" x14ac:dyDescent="0.2">
      <c r="A107" s="127" t="str">
        <f>'Scenario List'!$A$5</f>
        <v>3- Baseline Portfolio</v>
      </c>
      <c r="B107" s="128" t="s">
        <v>87</v>
      </c>
      <c r="C107" s="140"/>
      <c r="D107" s="140">
        <v>0</v>
      </c>
      <c r="E107" s="140">
        <v>0</v>
      </c>
      <c r="F107" s="140">
        <v>0</v>
      </c>
      <c r="G107" s="140">
        <v>0</v>
      </c>
      <c r="H107" s="140">
        <v>0</v>
      </c>
      <c r="I107" s="140">
        <v>0</v>
      </c>
      <c r="J107" s="140">
        <v>0</v>
      </c>
      <c r="K107" s="140">
        <v>0</v>
      </c>
      <c r="L107" s="140">
        <v>0</v>
      </c>
      <c r="M107" s="140">
        <v>0</v>
      </c>
      <c r="N107" s="140">
        <v>0</v>
      </c>
      <c r="O107" s="140">
        <v>0</v>
      </c>
      <c r="P107" s="140">
        <v>5</v>
      </c>
      <c r="Q107" s="140">
        <v>0</v>
      </c>
      <c r="R107" s="140">
        <v>0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  <c r="X107" s="140">
        <v>0</v>
      </c>
      <c r="Y107" s="140">
        <v>0</v>
      </c>
      <c r="Z107" s="140">
        <v>0</v>
      </c>
      <c r="AA107" s="139"/>
      <c r="AB107" s="139">
        <f t="shared" si="6"/>
        <v>5</v>
      </c>
    </row>
    <row r="108" spans="1:28" x14ac:dyDescent="0.2">
      <c r="A108" s="127" t="str">
        <f>'Scenario List'!$A$5</f>
        <v>3- Baseline Portfolio</v>
      </c>
      <c r="B108" s="128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39"/>
      <c r="AB108" s="139">
        <f t="shared" si="6"/>
        <v>0</v>
      </c>
    </row>
    <row r="109" spans="1:28" x14ac:dyDescent="0.2">
      <c r="A109" s="127" t="str">
        <f>'Scenario List'!$A$5</f>
        <v>3- Baseline Portfolio</v>
      </c>
      <c r="B109" s="128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39"/>
      <c r="AB109" s="139"/>
    </row>
    <row r="110" spans="1:28" x14ac:dyDescent="0.2">
      <c r="A110" s="127" t="str">
        <f>'Scenario List'!$A$5</f>
        <v>3- Baseline Portfolio</v>
      </c>
      <c r="B110" s="128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39"/>
      <c r="AB110" s="139"/>
    </row>
    <row r="111" spans="1:28" x14ac:dyDescent="0.2">
      <c r="A111" s="127" t="str">
        <f>'Scenario List'!$A$5</f>
        <v>3- Baseline Portfolio</v>
      </c>
      <c r="B111" s="131" t="s">
        <v>9</v>
      </c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39"/>
      <c r="AB111" s="139"/>
    </row>
    <row r="112" spans="1:28" x14ac:dyDescent="0.2">
      <c r="A112" s="127" t="str">
        <f>'Scenario List'!$A$5</f>
        <v>3- Baseline Portfolio</v>
      </c>
      <c r="B112" s="128" t="s">
        <v>12</v>
      </c>
      <c r="C112" s="140"/>
      <c r="D112" s="140">
        <v>0</v>
      </c>
      <c r="E112" s="140">
        <v>0</v>
      </c>
      <c r="F112" s="140">
        <v>0</v>
      </c>
      <c r="G112" s="140">
        <v>0</v>
      </c>
      <c r="H112" s="140">
        <v>0</v>
      </c>
      <c r="I112" s="140">
        <v>0</v>
      </c>
      <c r="J112" s="140">
        <v>0</v>
      </c>
      <c r="K112" s="140">
        <v>0</v>
      </c>
      <c r="L112" s="140">
        <v>0</v>
      </c>
      <c r="M112" s="140">
        <v>0</v>
      </c>
      <c r="N112" s="140">
        <v>0</v>
      </c>
      <c r="O112" s="140">
        <v>0</v>
      </c>
      <c r="P112" s="140">
        <v>0</v>
      </c>
      <c r="Q112" s="140">
        <v>0</v>
      </c>
      <c r="R112" s="140">
        <v>0</v>
      </c>
      <c r="S112" s="140">
        <v>0</v>
      </c>
      <c r="T112" s="140">
        <v>0</v>
      </c>
      <c r="U112" s="140">
        <v>90.247500000000059</v>
      </c>
      <c r="V112" s="140">
        <v>0</v>
      </c>
      <c r="W112" s="140">
        <v>208.83880741855955</v>
      </c>
      <c r="X112" s="140">
        <v>0</v>
      </c>
      <c r="Y112" s="140">
        <v>0</v>
      </c>
      <c r="Z112" s="140">
        <v>0</v>
      </c>
      <c r="AA112" s="139"/>
      <c r="AB112" s="139">
        <f t="shared" ref="AB112:AB122" si="7">SUM(C112:Z112)</f>
        <v>299.08630741855961</v>
      </c>
    </row>
    <row r="113" spans="1:28" x14ac:dyDescent="0.2">
      <c r="A113" s="127" t="str">
        <f>'Scenario List'!$A$5</f>
        <v>3- Baseline Portfolio</v>
      </c>
      <c r="B113" s="128" t="s">
        <v>13</v>
      </c>
      <c r="C113" s="140"/>
      <c r="D113" s="140">
        <v>0</v>
      </c>
      <c r="E113" s="140">
        <v>0</v>
      </c>
      <c r="F113" s="140">
        <v>0</v>
      </c>
      <c r="G113" s="140">
        <v>0</v>
      </c>
      <c r="H113" s="140">
        <v>0</v>
      </c>
      <c r="I113" s="140">
        <v>0</v>
      </c>
      <c r="J113" s="140">
        <v>0</v>
      </c>
      <c r="K113" s="140">
        <v>0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0</v>
      </c>
      <c r="S113" s="140">
        <v>0</v>
      </c>
      <c r="T113" s="140">
        <v>0</v>
      </c>
      <c r="U113" s="140">
        <v>0</v>
      </c>
      <c r="V113" s="140">
        <v>0</v>
      </c>
      <c r="W113" s="140">
        <v>0</v>
      </c>
      <c r="X113" s="140">
        <v>0</v>
      </c>
      <c r="Y113" s="140">
        <v>0</v>
      </c>
      <c r="Z113" s="140">
        <v>0</v>
      </c>
      <c r="AA113" s="139"/>
      <c r="AB113" s="139">
        <f t="shared" si="7"/>
        <v>0</v>
      </c>
    </row>
    <row r="114" spans="1:28" x14ac:dyDescent="0.2">
      <c r="A114" s="127" t="str">
        <f>'Scenario List'!$A$5</f>
        <v>3- Baseline Portfolio</v>
      </c>
      <c r="B114" s="128" t="s">
        <v>14</v>
      </c>
      <c r="C114" s="140"/>
      <c r="D114" s="140">
        <v>0</v>
      </c>
      <c r="E114" s="140">
        <v>0</v>
      </c>
      <c r="F114" s="140">
        <v>0</v>
      </c>
      <c r="G114" s="140">
        <v>0</v>
      </c>
      <c r="H114" s="140">
        <v>0</v>
      </c>
      <c r="I114" s="140">
        <v>0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40">
        <v>0</v>
      </c>
      <c r="Q114" s="140">
        <v>0</v>
      </c>
      <c r="R114" s="140">
        <v>0</v>
      </c>
      <c r="S114" s="140">
        <v>0</v>
      </c>
      <c r="T114" s="140">
        <v>0</v>
      </c>
      <c r="U114" s="140">
        <v>0</v>
      </c>
      <c r="V114" s="140">
        <v>0</v>
      </c>
      <c r="W114" s="140">
        <v>0</v>
      </c>
      <c r="X114" s="140">
        <v>0</v>
      </c>
      <c r="Y114" s="140">
        <v>0</v>
      </c>
      <c r="Z114" s="140">
        <v>0</v>
      </c>
      <c r="AA114" s="139"/>
      <c r="AB114" s="139">
        <f t="shared" si="7"/>
        <v>0</v>
      </c>
    </row>
    <row r="115" spans="1:28" x14ac:dyDescent="0.2">
      <c r="A115" s="127" t="str">
        <f>'Scenario List'!$A$5</f>
        <v>3- Baseline Portfolio</v>
      </c>
      <c r="B115" s="128" t="s">
        <v>15</v>
      </c>
      <c r="C115" s="140"/>
      <c r="D115" s="140">
        <v>0</v>
      </c>
      <c r="E115" s="140">
        <v>0</v>
      </c>
      <c r="F115" s="140">
        <v>0</v>
      </c>
      <c r="G115" s="140">
        <v>0</v>
      </c>
      <c r="H115" s="140">
        <v>0</v>
      </c>
      <c r="I115" s="140">
        <v>0</v>
      </c>
      <c r="J115" s="140">
        <v>0</v>
      </c>
      <c r="K115" s="140">
        <v>200</v>
      </c>
      <c r="L115" s="140">
        <v>0</v>
      </c>
      <c r="M115" s="140">
        <v>100</v>
      </c>
      <c r="N115" s="140">
        <v>0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0</v>
      </c>
      <c r="U115" s="140">
        <v>0</v>
      </c>
      <c r="V115" s="140">
        <v>0</v>
      </c>
      <c r="W115" s="140">
        <v>0</v>
      </c>
      <c r="X115" s="140">
        <v>0</v>
      </c>
      <c r="Y115" s="140">
        <v>0</v>
      </c>
      <c r="Z115" s="140">
        <v>0</v>
      </c>
      <c r="AA115" s="139"/>
      <c r="AB115" s="139">
        <f t="shared" si="7"/>
        <v>300</v>
      </c>
    </row>
    <row r="116" spans="1:28" x14ac:dyDescent="0.2">
      <c r="A116" s="127" t="str">
        <f>'Scenario List'!$A$5</f>
        <v>3- Baseline Portfolio</v>
      </c>
      <c r="B116" s="128" t="s">
        <v>16</v>
      </c>
      <c r="C116" s="140"/>
      <c r="D116" s="140">
        <v>0</v>
      </c>
      <c r="E116" s="140">
        <v>0</v>
      </c>
      <c r="F116" s="140">
        <v>0</v>
      </c>
      <c r="G116" s="140">
        <v>0</v>
      </c>
      <c r="H116" s="140">
        <v>0</v>
      </c>
      <c r="I116" s="140">
        <v>0</v>
      </c>
      <c r="J116" s="140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40">
        <v>0</v>
      </c>
      <c r="Q116" s="140">
        <v>0</v>
      </c>
      <c r="R116" s="140">
        <v>0</v>
      </c>
      <c r="S116" s="140">
        <v>0</v>
      </c>
      <c r="T116" s="140">
        <v>0</v>
      </c>
      <c r="U116" s="140">
        <v>0</v>
      </c>
      <c r="V116" s="140">
        <v>0</v>
      </c>
      <c r="W116" s="140">
        <v>25</v>
      </c>
      <c r="X116" s="140">
        <v>0</v>
      </c>
      <c r="Y116" s="140">
        <v>0</v>
      </c>
      <c r="Z116" s="140">
        <v>157.55294403961713</v>
      </c>
      <c r="AA116" s="139"/>
      <c r="AB116" s="139">
        <f t="shared" si="7"/>
        <v>182.55294403961713</v>
      </c>
    </row>
    <row r="117" spans="1:28" x14ac:dyDescent="0.2">
      <c r="A117" s="127" t="str">
        <f>'Scenario List'!$A$5</f>
        <v>3- Baseline Portfolio</v>
      </c>
      <c r="B117" s="128" t="s">
        <v>85</v>
      </c>
      <c r="C117" s="140"/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  <c r="I117" s="140">
        <v>0</v>
      </c>
      <c r="J117" s="140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</v>
      </c>
      <c r="S117" s="140">
        <v>0</v>
      </c>
      <c r="T117" s="140">
        <v>0</v>
      </c>
      <c r="U117" s="140">
        <v>0</v>
      </c>
      <c r="V117" s="140">
        <v>0</v>
      </c>
      <c r="W117" s="140">
        <v>0</v>
      </c>
      <c r="X117" s="140">
        <v>0</v>
      </c>
      <c r="Y117" s="140">
        <v>0</v>
      </c>
      <c r="Z117" s="140">
        <v>0</v>
      </c>
      <c r="AA117" s="139"/>
      <c r="AB117" s="139">
        <f t="shared" si="7"/>
        <v>0</v>
      </c>
    </row>
    <row r="118" spans="1:28" x14ac:dyDescent="0.2">
      <c r="A118" s="127" t="str">
        <f>'Scenario List'!$A$5</f>
        <v>3- Baseline Portfolio</v>
      </c>
      <c r="B118" s="128" t="s">
        <v>86</v>
      </c>
      <c r="C118" s="140"/>
      <c r="D118" s="140">
        <v>0</v>
      </c>
      <c r="E118" s="140">
        <v>0</v>
      </c>
      <c r="F118" s="140">
        <v>0</v>
      </c>
      <c r="G118" s="140">
        <v>0</v>
      </c>
      <c r="H118" s="140">
        <v>0</v>
      </c>
      <c r="I118" s="140">
        <v>0</v>
      </c>
      <c r="J118" s="140">
        <v>0</v>
      </c>
      <c r="K118" s="140">
        <v>0</v>
      </c>
      <c r="L118" s="140">
        <v>0</v>
      </c>
      <c r="M118" s="140">
        <v>0</v>
      </c>
      <c r="N118" s="140">
        <v>0</v>
      </c>
      <c r="O118" s="140">
        <v>0</v>
      </c>
      <c r="P118" s="140">
        <v>0</v>
      </c>
      <c r="Q118" s="140">
        <v>0</v>
      </c>
      <c r="R118" s="140">
        <v>0</v>
      </c>
      <c r="S118" s="140">
        <v>0</v>
      </c>
      <c r="T118" s="140">
        <v>0</v>
      </c>
      <c r="U118" s="140">
        <v>0</v>
      </c>
      <c r="V118" s="140">
        <v>0</v>
      </c>
      <c r="W118" s="140">
        <v>0</v>
      </c>
      <c r="X118" s="140">
        <v>0</v>
      </c>
      <c r="Y118" s="140">
        <v>0</v>
      </c>
      <c r="Z118" s="140">
        <v>0</v>
      </c>
      <c r="AA118" s="139"/>
      <c r="AB118" s="139">
        <f t="shared" si="7"/>
        <v>0</v>
      </c>
    </row>
    <row r="119" spans="1:28" x14ac:dyDescent="0.2">
      <c r="A119" s="127" t="str">
        <f>'Scenario List'!$A$5</f>
        <v>3- Baseline Portfolio</v>
      </c>
      <c r="B119" s="128" t="s">
        <v>87</v>
      </c>
      <c r="C119" s="140"/>
      <c r="D119" s="140">
        <v>0</v>
      </c>
      <c r="E119" s="140">
        <v>0</v>
      </c>
      <c r="F119" s="140">
        <v>0</v>
      </c>
      <c r="G119" s="140">
        <v>0</v>
      </c>
      <c r="H119" s="140">
        <v>0</v>
      </c>
      <c r="I119" s="140">
        <v>0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  <c r="X119" s="140">
        <v>0</v>
      </c>
      <c r="Y119" s="140">
        <v>0</v>
      </c>
      <c r="Z119" s="140">
        <v>0</v>
      </c>
      <c r="AA119" s="139"/>
      <c r="AB119" s="139">
        <f t="shared" si="7"/>
        <v>0</v>
      </c>
    </row>
    <row r="120" spans="1:28" x14ac:dyDescent="0.2">
      <c r="A120" s="127" t="str">
        <f>'Scenario List'!$A$5</f>
        <v>3- Baseline Portfolio</v>
      </c>
      <c r="B120" s="128" t="s">
        <v>17</v>
      </c>
      <c r="C120" s="140"/>
      <c r="D120" s="140">
        <v>0</v>
      </c>
      <c r="E120" s="140">
        <v>0</v>
      </c>
      <c r="F120" s="140">
        <v>6.7666466459931875</v>
      </c>
      <c r="G120" s="140">
        <v>0</v>
      </c>
      <c r="H120" s="140">
        <v>0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0</v>
      </c>
      <c r="P120" s="140">
        <v>0</v>
      </c>
      <c r="Q120" s="140">
        <v>0</v>
      </c>
      <c r="R120" s="140">
        <v>0</v>
      </c>
      <c r="S120" s="140">
        <v>0</v>
      </c>
      <c r="T120" s="140">
        <v>0</v>
      </c>
      <c r="U120" s="140">
        <v>0</v>
      </c>
      <c r="V120" s="140">
        <v>0</v>
      </c>
      <c r="W120" s="140">
        <v>0</v>
      </c>
      <c r="X120" s="140">
        <v>0</v>
      </c>
      <c r="Y120" s="140">
        <v>0</v>
      </c>
      <c r="Z120" s="140">
        <v>0</v>
      </c>
      <c r="AA120" s="139"/>
      <c r="AB120" s="139">
        <f t="shared" si="7"/>
        <v>6.7666466459931875</v>
      </c>
    </row>
    <row r="121" spans="1:28" x14ac:dyDescent="0.2">
      <c r="A121" s="127" t="str">
        <f>'Scenario List'!$A$5</f>
        <v>3- Baseline Portfolio</v>
      </c>
      <c r="B121" s="128" t="s">
        <v>18</v>
      </c>
      <c r="C121" s="140"/>
      <c r="D121" s="140">
        <v>1.4924082571640032</v>
      </c>
      <c r="E121" s="140">
        <v>1.8635390321542009</v>
      </c>
      <c r="F121" s="140">
        <v>2.1026132097983985</v>
      </c>
      <c r="G121" s="140">
        <v>2.47965572795614</v>
      </c>
      <c r="H121" s="140">
        <v>2.6546246364356998</v>
      </c>
      <c r="I121" s="140">
        <v>2.8221318466559602</v>
      </c>
      <c r="J121" s="140">
        <v>2.8333097204145865</v>
      </c>
      <c r="K121" s="140">
        <v>2.7025667648392862</v>
      </c>
      <c r="L121" s="140">
        <v>3.0904666901381432</v>
      </c>
      <c r="M121" s="140">
        <v>3.2590206075522694</v>
      </c>
      <c r="N121" s="140">
        <v>3.1358807197928691</v>
      </c>
      <c r="O121" s="140">
        <v>3.2108253238081765</v>
      </c>
      <c r="P121" s="140">
        <v>3.1532573938147053</v>
      </c>
      <c r="Q121" s="140">
        <v>3.1911690376512851</v>
      </c>
      <c r="R121" s="140">
        <v>2.8680890796783629</v>
      </c>
      <c r="S121" s="140">
        <v>2.5648842698481715</v>
      </c>
      <c r="T121" s="140">
        <v>2.4557598714173494</v>
      </c>
      <c r="U121" s="140">
        <v>2.4649936459563335</v>
      </c>
      <c r="V121" s="140">
        <v>2.185515576550138</v>
      </c>
      <c r="W121" s="140">
        <v>2.2572620103081533</v>
      </c>
      <c r="X121" s="140">
        <v>1.37261031594619</v>
      </c>
      <c r="Y121" s="140">
        <v>1.5790497269017081</v>
      </c>
      <c r="Z121" s="140">
        <v>0.87361013080287364</v>
      </c>
      <c r="AA121" s="139"/>
      <c r="AB121" s="139">
        <f t="shared" si="7"/>
        <v>56.613243595585004</v>
      </c>
    </row>
    <row r="122" spans="1:28" x14ac:dyDescent="0.2">
      <c r="A122" s="127" t="str">
        <f>'Scenario List'!$A$5</f>
        <v>3- Baseline Portfolio</v>
      </c>
      <c r="B122" s="128" t="s">
        <v>19</v>
      </c>
      <c r="C122" s="140"/>
      <c r="D122" s="140">
        <v>1.3991819732250013</v>
      </c>
      <c r="E122" s="140">
        <v>1.7792885076106464</v>
      </c>
      <c r="F122" s="140">
        <v>2.0512574855376924</v>
      </c>
      <c r="G122" s="140">
        <v>2.4872656646470421</v>
      </c>
      <c r="H122" s="140">
        <v>2.7227461235551056</v>
      </c>
      <c r="I122" s="140">
        <v>2.9481453118970666</v>
      </c>
      <c r="J122" s="140">
        <v>3.01006211756218</v>
      </c>
      <c r="K122" s="140">
        <v>2.9364111514454798</v>
      </c>
      <c r="L122" s="140">
        <v>3.3499389997572742</v>
      </c>
      <c r="M122" s="140">
        <v>3.5944327510194611</v>
      </c>
      <c r="N122" s="140">
        <v>3.5115821293447382</v>
      </c>
      <c r="O122" s="140">
        <v>3.5847639775205948</v>
      </c>
      <c r="P122" s="140">
        <v>3.4957049160862752</v>
      </c>
      <c r="Q122" s="140">
        <v>3.4828548671968278</v>
      </c>
      <c r="R122" s="140">
        <v>3.0808692820134596</v>
      </c>
      <c r="S122" s="140">
        <v>2.6597195756024945</v>
      </c>
      <c r="T122" s="140">
        <v>2.5231420426912621</v>
      </c>
      <c r="U122" s="140">
        <v>2.4596556200711532</v>
      </c>
      <c r="V122" s="140">
        <v>2.0864393318602694</v>
      </c>
      <c r="W122" s="140">
        <v>2.1486153188909825</v>
      </c>
      <c r="X122" s="140">
        <v>1.3434569864764256</v>
      </c>
      <c r="Y122" s="140">
        <v>1.5407124218854023</v>
      </c>
      <c r="Z122" s="140">
        <v>0.86011889400234764</v>
      </c>
      <c r="AA122" s="139"/>
      <c r="AB122" s="139">
        <f t="shared" si="7"/>
        <v>59.056365449899182</v>
      </c>
    </row>
    <row r="123" spans="1:28" x14ac:dyDescent="0.2">
      <c r="A123" s="127" t="str">
        <f>'Scenario List'!$A$5</f>
        <v>3- Baseline Portfolio</v>
      </c>
      <c r="B123" s="128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39"/>
      <c r="AB123" s="139"/>
    </row>
    <row r="124" spans="1:28" x14ac:dyDescent="0.2">
      <c r="A124" s="127" t="str">
        <f>'Scenario List'!$A$5</f>
        <v>3- Baseline Portfolio</v>
      </c>
      <c r="B124" s="132" t="s">
        <v>8</v>
      </c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39"/>
      <c r="AB124" s="139"/>
    </row>
    <row r="125" spans="1:28" x14ac:dyDescent="0.2">
      <c r="A125" s="127" t="str">
        <f>'Scenario List'!$A$5</f>
        <v>3- Baseline Portfolio</v>
      </c>
      <c r="B125" s="128" t="s">
        <v>12</v>
      </c>
      <c r="C125" s="140"/>
      <c r="D125" s="140">
        <v>0</v>
      </c>
      <c r="E125" s="140">
        <v>0</v>
      </c>
      <c r="F125" s="140">
        <v>0</v>
      </c>
      <c r="G125" s="140">
        <v>0</v>
      </c>
      <c r="H125" s="140">
        <v>0</v>
      </c>
      <c r="I125" s="140">
        <v>0</v>
      </c>
      <c r="J125" s="140">
        <v>0</v>
      </c>
      <c r="K125" s="140">
        <v>0</v>
      </c>
      <c r="L125" s="140">
        <v>0</v>
      </c>
      <c r="M125" s="140">
        <v>0</v>
      </c>
      <c r="N125" s="140">
        <v>0</v>
      </c>
      <c r="O125" s="140">
        <v>0</v>
      </c>
      <c r="P125" s="140">
        <v>0</v>
      </c>
      <c r="Q125" s="140">
        <v>0</v>
      </c>
      <c r="R125" s="140">
        <v>0</v>
      </c>
      <c r="S125" s="140">
        <v>0</v>
      </c>
      <c r="T125" s="140">
        <v>0</v>
      </c>
      <c r="U125" s="140">
        <v>0</v>
      </c>
      <c r="V125" s="140">
        <v>0</v>
      </c>
      <c r="W125" s="140">
        <v>91.16119258144046</v>
      </c>
      <c r="X125" s="140">
        <v>0</v>
      </c>
      <c r="Y125" s="140">
        <v>0</v>
      </c>
      <c r="Z125" s="140">
        <v>0</v>
      </c>
      <c r="AA125" s="139"/>
      <c r="AB125" s="139">
        <f t="shared" ref="AB125:AB135" si="8">SUM(C125:Z125)</f>
        <v>91.16119258144046</v>
      </c>
    </row>
    <row r="126" spans="1:28" x14ac:dyDescent="0.2">
      <c r="A126" s="127" t="str">
        <f>'Scenario List'!$A$5</f>
        <v>3- Baseline Portfolio</v>
      </c>
      <c r="B126" s="128" t="s">
        <v>13</v>
      </c>
      <c r="C126" s="140"/>
      <c r="D126" s="140">
        <v>0</v>
      </c>
      <c r="E126" s="140">
        <v>0</v>
      </c>
      <c r="F126" s="140">
        <v>0</v>
      </c>
      <c r="G126" s="140">
        <v>0</v>
      </c>
      <c r="H126" s="140">
        <v>0</v>
      </c>
      <c r="I126" s="140">
        <v>0</v>
      </c>
      <c r="J126" s="140">
        <v>0</v>
      </c>
      <c r="K126" s="140">
        <v>0</v>
      </c>
      <c r="L126" s="140">
        <v>0</v>
      </c>
      <c r="M126" s="140">
        <v>0</v>
      </c>
      <c r="N126" s="140">
        <v>0</v>
      </c>
      <c r="O126" s="140">
        <v>0</v>
      </c>
      <c r="P126" s="140">
        <v>0</v>
      </c>
      <c r="Q126" s="140">
        <v>0</v>
      </c>
      <c r="R126" s="140">
        <v>0</v>
      </c>
      <c r="S126" s="140">
        <v>0</v>
      </c>
      <c r="T126" s="140">
        <v>0</v>
      </c>
      <c r="U126" s="140">
        <v>0</v>
      </c>
      <c r="V126" s="140">
        <v>0</v>
      </c>
      <c r="W126" s="140">
        <v>0</v>
      </c>
      <c r="X126" s="140">
        <v>0</v>
      </c>
      <c r="Y126" s="140">
        <v>0</v>
      </c>
      <c r="Z126" s="140">
        <v>0</v>
      </c>
      <c r="AA126" s="139"/>
      <c r="AB126" s="139">
        <f t="shared" si="8"/>
        <v>0</v>
      </c>
    </row>
    <row r="127" spans="1:28" x14ac:dyDescent="0.2">
      <c r="A127" s="127" t="str">
        <f>'Scenario List'!$A$5</f>
        <v>3- Baseline Portfolio</v>
      </c>
      <c r="B127" s="128" t="s">
        <v>14</v>
      </c>
      <c r="C127" s="140"/>
      <c r="D127" s="140">
        <v>0</v>
      </c>
      <c r="E127" s="140">
        <v>0</v>
      </c>
      <c r="F127" s="140">
        <v>0</v>
      </c>
      <c r="G127" s="140">
        <v>0</v>
      </c>
      <c r="H127" s="140">
        <v>0</v>
      </c>
      <c r="I127" s="140">
        <v>0</v>
      </c>
      <c r="J127" s="140">
        <v>0</v>
      </c>
      <c r="K127" s="140">
        <v>0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0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0">
        <v>0</v>
      </c>
      <c r="X127" s="140">
        <v>0</v>
      </c>
      <c r="Y127" s="140">
        <v>0</v>
      </c>
      <c r="Z127" s="140">
        <v>0</v>
      </c>
      <c r="AA127" s="139"/>
      <c r="AB127" s="139">
        <f t="shared" si="8"/>
        <v>0</v>
      </c>
    </row>
    <row r="128" spans="1:28" x14ac:dyDescent="0.2">
      <c r="A128" s="127" t="str">
        <f>'Scenario List'!$A$5</f>
        <v>3- Baseline Portfolio</v>
      </c>
      <c r="B128" s="128" t="s">
        <v>15</v>
      </c>
      <c r="C128" s="140"/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0</v>
      </c>
      <c r="O128" s="140">
        <v>0</v>
      </c>
      <c r="P128" s="140">
        <v>0</v>
      </c>
      <c r="Q128" s="140">
        <v>0</v>
      </c>
      <c r="R128" s="140">
        <v>0</v>
      </c>
      <c r="S128" s="140">
        <v>0</v>
      </c>
      <c r="T128" s="140">
        <v>0</v>
      </c>
      <c r="U128" s="140">
        <v>0</v>
      </c>
      <c r="V128" s="140">
        <v>0</v>
      </c>
      <c r="W128" s="140">
        <v>0</v>
      </c>
      <c r="X128" s="140">
        <v>0</v>
      </c>
      <c r="Y128" s="140">
        <v>0</v>
      </c>
      <c r="Z128" s="140">
        <v>0</v>
      </c>
      <c r="AA128" s="139"/>
      <c r="AB128" s="139">
        <f t="shared" si="8"/>
        <v>0</v>
      </c>
    </row>
    <row r="129" spans="1:28" x14ac:dyDescent="0.2">
      <c r="A129" s="127" t="str">
        <f>'Scenario List'!$A$5</f>
        <v>3- Baseline Portfolio</v>
      </c>
      <c r="B129" s="128" t="s">
        <v>16</v>
      </c>
      <c r="C129" s="140"/>
      <c r="D129" s="140">
        <v>0</v>
      </c>
      <c r="E129" s="140">
        <v>0</v>
      </c>
      <c r="F129" s="140">
        <v>0</v>
      </c>
      <c r="G129" s="140">
        <v>0</v>
      </c>
      <c r="H129" s="140">
        <v>0</v>
      </c>
      <c r="I129" s="140">
        <v>0</v>
      </c>
      <c r="J129" s="140">
        <v>0</v>
      </c>
      <c r="K129" s="140">
        <v>0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0</v>
      </c>
      <c r="R129" s="140">
        <v>0</v>
      </c>
      <c r="S129" s="140">
        <v>0</v>
      </c>
      <c r="T129" s="140">
        <v>0</v>
      </c>
      <c r="U129" s="140">
        <v>0</v>
      </c>
      <c r="V129" s="140">
        <v>63.308121275532059</v>
      </c>
      <c r="W129" s="140">
        <v>0</v>
      </c>
      <c r="X129" s="140">
        <v>0</v>
      </c>
      <c r="Y129" s="140">
        <v>0</v>
      </c>
      <c r="Z129" s="140">
        <v>67.090459802153106</v>
      </c>
      <c r="AA129" s="139"/>
      <c r="AB129" s="139">
        <f t="shared" si="8"/>
        <v>130.39858107768515</v>
      </c>
    </row>
    <row r="130" spans="1:28" x14ac:dyDescent="0.2">
      <c r="A130" s="127" t="str">
        <f>'Scenario List'!$A$5</f>
        <v>3- Baseline Portfolio</v>
      </c>
      <c r="B130" s="128" t="s">
        <v>85</v>
      </c>
      <c r="C130" s="140"/>
      <c r="D130" s="140">
        <v>0</v>
      </c>
      <c r="E130" s="140">
        <v>0</v>
      </c>
      <c r="F130" s="140">
        <v>0</v>
      </c>
      <c r="G130" s="140">
        <v>0</v>
      </c>
      <c r="H130" s="140">
        <v>0</v>
      </c>
      <c r="I130" s="140">
        <v>0</v>
      </c>
      <c r="J130" s="140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0</v>
      </c>
      <c r="P130" s="140">
        <v>0</v>
      </c>
      <c r="Q130" s="140">
        <v>0</v>
      </c>
      <c r="R130" s="140">
        <v>0</v>
      </c>
      <c r="S130" s="140">
        <v>0</v>
      </c>
      <c r="T130" s="140">
        <v>0</v>
      </c>
      <c r="U130" s="140">
        <v>0</v>
      </c>
      <c r="V130" s="140">
        <v>0</v>
      </c>
      <c r="W130" s="140">
        <v>0</v>
      </c>
      <c r="X130" s="140">
        <v>0</v>
      </c>
      <c r="Y130" s="140">
        <v>0</v>
      </c>
      <c r="Z130" s="140">
        <v>0</v>
      </c>
      <c r="AA130" s="139"/>
      <c r="AB130" s="139">
        <f t="shared" si="8"/>
        <v>0</v>
      </c>
    </row>
    <row r="131" spans="1:28" x14ac:dyDescent="0.2">
      <c r="A131" s="127" t="str">
        <f>'Scenario List'!$A$5</f>
        <v>3- Baseline Portfolio</v>
      </c>
      <c r="B131" s="128" t="s">
        <v>86</v>
      </c>
      <c r="C131" s="140"/>
      <c r="D131" s="140">
        <v>0</v>
      </c>
      <c r="E131" s="140">
        <v>0</v>
      </c>
      <c r="F131" s="140">
        <v>0</v>
      </c>
      <c r="G131" s="140">
        <v>0</v>
      </c>
      <c r="H131" s="140">
        <v>0</v>
      </c>
      <c r="I131" s="140">
        <v>0</v>
      </c>
      <c r="J131" s="140">
        <v>0</v>
      </c>
      <c r="K131" s="140">
        <v>0</v>
      </c>
      <c r="L131" s="140">
        <v>0</v>
      </c>
      <c r="M131" s="140">
        <v>0</v>
      </c>
      <c r="N131" s="140">
        <v>0</v>
      </c>
      <c r="O131" s="140">
        <v>0</v>
      </c>
      <c r="P131" s="140">
        <v>0</v>
      </c>
      <c r="Q131" s="140">
        <v>0</v>
      </c>
      <c r="R131" s="140">
        <v>0</v>
      </c>
      <c r="S131" s="140">
        <v>0</v>
      </c>
      <c r="T131" s="140">
        <v>0</v>
      </c>
      <c r="U131" s="140">
        <v>0</v>
      </c>
      <c r="V131" s="140">
        <v>0</v>
      </c>
      <c r="W131" s="140">
        <v>0</v>
      </c>
      <c r="X131" s="140">
        <v>0</v>
      </c>
      <c r="Y131" s="140">
        <v>0</v>
      </c>
      <c r="Z131" s="140">
        <v>0</v>
      </c>
      <c r="AA131" s="139"/>
      <c r="AB131" s="139">
        <f t="shared" si="8"/>
        <v>0</v>
      </c>
    </row>
    <row r="132" spans="1:28" x14ac:dyDescent="0.2">
      <c r="A132" s="127" t="str">
        <f>'Scenario List'!$A$5</f>
        <v>3- Baseline Portfolio</v>
      </c>
      <c r="B132" s="128" t="s">
        <v>87</v>
      </c>
      <c r="C132" s="140"/>
      <c r="D132" s="140">
        <v>0</v>
      </c>
      <c r="E132" s="140">
        <v>0</v>
      </c>
      <c r="F132" s="140">
        <v>0</v>
      </c>
      <c r="G132" s="140">
        <v>0</v>
      </c>
      <c r="H132" s="140">
        <v>0</v>
      </c>
      <c r="I132" s="140">
        <v>0</v>
      </c>
      <c r="J132" s="140">
        <v>0</v>
      </c>
      <c r="K132" s="140">
        <v>0</v>
      </c>
      <c r="L132" s="140">
        <v>0</v>
      </c>
      <c r="M132" s="140">
        <v>0</v>
      </c>
      <c r="N132" s="140">
        <v>0</v>
      </c>
      <c r="O132" s="140">
        <v>0</v>
      </c>
      <c r="P132" s="140">
        <v>0</v>
      </c>
      <c r="Q132" s="140">
        <v>0</v>
      </c>
      <c r="R132" s="140">
        <v>0</v>
      </c>
      <c r="S132" s="140">
        <v>0</v>
      </c>
      <c r="T132" s="140">
        <v>0</v>
      </c>
      <c r="U132" s="140">
        <v>0</v>
      </c>
      <c r="V132" s="140">
        <v>0</v>
      </c>
      <c r="W132" s="140">
        <v>0</v>
      </c>
      <c r="X132" s="140">
        <v>0</v>
      </c>
      <c r="Y132" s="140">
        <v>0</v>
      </c>
      <c r="Z132" s="140">
        <v>0</v>
      </c>
      <c r="AA132" s="139"/>
      <c r="AB132" s="139">
        <f t="shared" si="8"/>
        <v>0</v>
      </c>
    </row>
    <row r="133" spans="1:28" x14ac:dyDescent="0.2">
      <c r="A133" s="127" t="str">
        <f>'Scenario List'!$A$5</f>
        <v>3- Baseline Portfolio</v>
      </c>
      <c r="B133" s="128" t="s">
        <v>17</v>
      </c>
      <c r="C133" s="140"/>
      <c r="D133" s="140">
        <v>0</v>
      </c>
      <c r="E133" s="140">
        <v>0</v>
      </c>
      <c r="F133" s="140">
        <v>0</v>
      </c>
      <c r="G133" s="140">
        <v>0</v>
      </c>
      <c r="H133" s="140">
        <v>0</v>
      </c>
      <c r="I133" s="140">
        <v>0</v>
      </c>
      <c r="J133" s="140">
        <v>0</v>
      </c>
      <c r="K133" s="140">
        <v>0</v>
      </c>
      <c r="L133" s="140">
        <v>8.8764119759648654</v>
      </c>
      <c r="M133" s="140">
        <v>1.8776823504345177</v>
      </c>
      <c r="N133" s="140">
        <v>0</v>
      </c>
      <c r="O133" s="140">
        <v>0</v>
      </c>
      <c r="P133" s="140">
        <v>0</v>
      </c>
      <c r="Q133" s="140">
        <v>0</v>
      </c>
      <c r="R133" s="140">
        <v>0</v>
      </c>
      <c r="S133" s="140">
        <v>0</v>
      </c>
      <c r="T133" s="140">
        <v>0</v>
      </c>
      <c r="U133" s="140">
        <v>0</v>
      </c>
      <c r="V133" s="140">
        <v>0</v>
      </c>
      <c r="W133" s="140">
        <v>0</v>
      </c>
      <c r="X133" s="140">
        <v>0</v>
      </c>
      <c r="Y133" s="140">
        <v>0</v>
      </c>
      <c r="Z133" s="140">
        <v>0</v>
      </c>
      <c r="AA133" s="139"/>
      <c r="AB133" s="139">
        <f t="shared" si="8"/>
        <v>10.754094326399382</v>
      </c>
    </row>
    <row r="134" spans="1:28" x14ac:dyDescent="0.2">
      <c r="A134" s="127" t="str">
        <f>'Scenario List'!$A$5</f>
        <v>3- Baseline Portfolio</v>
      </c>
      <c r="B134" s="128" t="s">
        <v>18</v>
      </c>
      <c r="C134" s="140"/>
      <c r="D134" s="140">
        <v>0.66437725400667191</v>
      </c>
      <c r="E134" s="140">
        <v>0.816499810612757</v>
      </c>
      <c r="F134" s="140">
        <v>0.94202104937270636</v>
      </c>
      <c r="G134" s="140">
        <v>1.095721003781517</v>
      </c>
      <c r="H134" s="140">
        <v>1.1782755847767064</v>
      </c>
      <c r="I134" s="140">
        <v>1.246565218770848</v>
      </c>
      <c r="J134" s="140">
        <v>1.2385751546440043</v>
      </c>
      <c r="K134" s="140">
        <v>1.2166124635043376</v>
      </c>
      <c r="L134" s="140">
        <v>1.3284920882556861</v>
      </c>
      <c r="M134" s="140">
        <v>1.3859042306184577</v>
      </c>
      <c r="N134" s="140">
        <v>1.3094680135099495</v>
      </c>
      <c r="O134" s="140">
        <v>1.3384483637380864</v>
      </c>
      <c r="P134" s="140">
        <v>1.3025729903840926</v>
      </c>
      <c r="Q134" s="140">
        <v>1.3131186548493332</v>
      </c>
      <c r="R134" s="140">
        <v>1.1756854209753165</v>
      </c>
      <c r="S134" s="140">
        <v>1.0394567848054344</v>
      </c>
      <c r="T134" s="140">
        <v>0.99916879372752732</v>
      </c>
      <c r="U134" s="140">
        <v>1.0048033599403929</v>
      </c>
      <c r="V134" s="140">
        <v>0.8650249969130428</v>
      </c>
      <c r="W134" s="140">
        <v>0.91371928109441214</v>
      </c>
      <c r="X134" s="140">
        <v>0.50528776705256107</v>
      </c>
      <c r="Y134" s="140">
        <v>0.5667462536461656</v>
      </c>
      <c r="Z134" s="140">
        <v>0.34474468614308762</v>
      </c>
      <c r="AA134" s="139"/>
      <c r="AB134" s="139">
        <f>SUM(C134:Z134)</f>
        <v>23.791289225123094</v>
      </c>
    </row>
    <row r="135" spans="1:28" x14ac:dyDescent="0.2">
      <c r="A135" s="127" t="str">
        <f>'Scenario List'!$A$5</f>
        <v>3- Baseline Portfolio</v>
      </c>
      <c r="B135" s="128" t="s">
        <v>19</v>
      </c>
      <c r="C135" s="140"/>
      <c r="D135" s="140">
        <v>0.61444813589337799</v>
      </c>
      <c r="E135" s="140">
        <v>0.77308007210008678</v>
      </c>
      <c r="F135" s="140">
        <v>0.91115742167673641</v>
      </c>
      <c r="G135" s="140">
        <v>1.087984377211618</v>
      </c>
      <c r="H135" s="140">
        <v>1.1921191886991807</v>
      </c>
      <c r="I135" s="140">
        <v>1.2832784084577309</v>
      </c>
      <c r="J135" s="140">
        <v>1.2953591875974135</v>
      </c>
      <c r="K135" s="140">
        <v>1.2910764374226513</v>
      </c>
      <c r="L135" s="140">
        <v>1.4133621848756306</v>
      </c>
      <c r="M135" s="140">
        <v>1.490041276032823</v>
      </c>
      <c r="N135" s="140">
        <v>1.4244211011691075</v>
      </c>
      <c r="O135" s="140">
        <v>1.4531559474064579</v>
      </c>
      <c r="P135" s="140">
        <v>1.4016532971350824</v>
      </c>
      <c r="Q135" s="140">
        <v>1.3920148992098316</v>
      </c>
      <c r="R135" s="140">
        <v>1.2234942711483718</v>
      </c>
      <c r="S135" s="140">
        <v>1.0636840359843305</v>
      </c>
      <c r="T135" s="140">
        <v>1.0211813360425239</v>
      </c>
      <c r="U135" s="140">
        <v>0.99617186983970996</v>
      </c>
      <c r="V135" s="140">
        <v>0.82973558988398821</v>
      </c>
      <c r="W135" s="140">
        <v>0.86519984183563992</v>
      </c>
      <c r="X135" s="140">
        <v>0.49387057597452966</v>
      </c>
      <c r="Y135" s="140">
        <v>0.55910472881689088</v>
      </c>
      <c r="Z135" s="140">
        <v>0.33743243237116261</v>
      </c>
      <c r="AA135" s="139"/>
      <c r="AB135" s="139">
        <f t="shared" si="8"/>
        <v>24.413026616784876</v>
      </c>
    </row>
    <row r="136" spans="1:28" x14ac:dyDescent="0.2">
      <c r="A136" s="127" t="str">
        <f>'Scenario List'!$A$5</f>
        <v>3- Baseline Portfolio</v>
      </c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39"/>
      <c r="AB136" s="139"/>
    </row>
    <row r="137" spans="1:28" x14ac:dyDescent="0.2">
      <c r="A137" s="127" t="str">
        <f>'Scenario List'!$A$5</f>
        <v>3- Baseline Portfolio</v>
      </c>
      <c r="B137" s="131" t="s">
        <v>31</v>
      </c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39"/>
      <c r="AB137" s="139"/>
    </row>
    <row r="138" spans="1:28" x14ac:dyDescent="0.2">
      <c r="A138" s="127" t="str">
        <f>'Scenario List'!$A$5</f>
        <v>3- Baseline Portfolio</v>
      </c>
      <c r="B138" s="128" t="s">
        <v>1</v>
      </c>
      <c r="C138" s="140"/>
      <c r="D138" s="140">
        <v>20.170204070186294</v>
      </c>
      <c r="E138" s="140">
        <v>43.928607992535021</v>
      </c>
      <c r="F138" s="140">
        <v>71.069419756361285</v>
      </c>
      <c r="G138" s="140">
        <v>100.2886704217179</v>
      </c>
      <c r="H138" s="140">
        <v>132.13197274702642</v>
      </c>
      <c r="I138" s="140">
        <v>166.73246246074666</v>
      </c>
      <c r="J138" s="140">
        <v>202.91881845558908</v>
      </c>
      <c r="K138" s="140">
        <v>238.02049370449578</v>
      </c>
      <c r="L138" s="140">
        <v>273.25002310344138</v>
      </c>
      <c r="M138" s="140">
        <v>306.85625807906553</v>
      </c>
      <c r="N138" s="140">
        <v>337.04004648487972</v>
      </c>
      <c r="O138" s="140">
        <v>364.01180677239233</v>
      </c>
      <c r="P138" s="140">
        <v>388.00558203673398</v>
      </c>
      <c r="Q138" s="140">
        <v>409.39785599948175</v>
      </c>
      <c r="R138" s="140">
        <v>428.63466121147036</v>
      </c>
      <c r="S138" s="140">
        <v>443.94916552251675</v>
      </c>
      <c r="T138" s="140">
        <v>457.92332707971553</v>
      </c>
      <c r="U138" s="140">
        <v>470.36793658843953</v>
      </c>
      <c r="V138" s="140">
        <v>482.19134797478193</v>
      </c>
      <c r="W138" s="140">
        <v>493.38706599900644</v>
      </c>
      <c r="X138" s="140">
        <v>499.70191790057982</v>
      </c>
      <c r="Y138" s="140">
        <v>505.88314679031879</v>
      </c>
      <c r="Z138" s="140">
        <v>510.58802575803929</v>
      </c>
      <c r="AA138" s="139"/>
      <c r="AB138" s="139">
        <f>Z138/8.76</f>
        <v>58.28630431027846</v>
      </c>
    </row>
    <row r="139" spans="1:28" x14ac:dyDescent="0.2">
      <c r="A139" s="127" t="str">
        <f>'Scenario List'!$A$5</f>
        <v>3- Baseline Portfolio</v>
      </c>
      <c r="B139" s="128" t="s">
        <v>2</v>
      </c>
      <c r="C139" s="140"/>
      <c r="D139" s="140">
        <v>7.8906801050101993</v>
      </c>
      <c r="E139" s="140">
        <v>17.090480688035459</v>
      </c>
      <c r="F139" s="140">
        <v>27.563056209228506</v>
      </c>
      <c r="G139" s="140">
        <v>38.742833815479479</v>
      </c>
      <c r="H139" s="140">
        <v>50.850846103178561</v>
      </c>
      <c r="I139" s="140">
        <v>63.756400712707183</v>
      </c>
      <c r="J139" s="140">
        <v>77.064954846155914</v>
      </c>
      <c r="K139" s="140">
        <v>89.95424825487018</v>
      </c>
      <c r="L139" s="140">
        <v>103.00318333789892</v>
      </c>
      <c r="M139" s="140">
        <v>115.68509494502122</v>
      </c>
      <c r="N139" s="140">
        <v>126.56357514446582</v>
      </c>
      <c r="O139" s="140">
        <v>136.58099971321056</v>
      </c>
      <c r="P139" s="140">
        <v>145.81973346769516</v>
      </c>
      <c r="Q139" s="140">
        <v>154.39932943645599</v>
      </c>
      <c r="R139" s="140">
        <v>162.36713936574498</v>
      </c>
      <c r="S139" s="140">
        <v>168.82820208205672</v>
      </c>
      <c r="T139" s="140">
        <v>174.83018657640602</v>
      </c>
      <c r="U139" s="140">
        <v>180.2369813330813</v>
      </c>
      <c r="V139" s="140">
        <v>185.3288241902757</v>
      </c>
      <c r="W139" s="140">
        <v>190.19578235937129</v>
      </c>
      <c r="X139" s="140">
        <v>192.60035352869377</v>
      </c>
      <c r="Y139" s="140">
        <v>194.94663470267355</v>
      </c>
      <c r="Z139" s="140">
        <v>196.87102549600829</v>
      </c>
      <c r="AA139" s="139"/>
      <c r="AB139" s="139">
        <f>Z139/8.76</f>
        <v>22.473861357991815</v>
      </c>
    </row>
    <row r="140" spans="1:28" x14ac:dyDescent="0.2">
      <c r="A140" s="127" t="str">
        <f>'Scenario List'!$A$5</f>
        <v>3- Baseline Portfolio</v>
      </c>
      <c r="B140" s="128" t="s">
        <v>4</v>
      </c>
      <c r="C140" s="140"/>
      <c r="D140" s="140">
        <v>28.060884175196492</v>
      </c>
      <c r="E140" s="140">
        <v>61.019088680570476</v>
      </c>
      <c r="F140" s="140">
        <v>98.632475965589791</v>
      </c>
      <c r="G140" s="140">
        <v>139.03150423719737</v>
      </c>
      <c r="H140" s="140">
        <v>182.98281885020498</v>
      </c>
      <c r="I140" s="140">
        <v>230.48886317345384</v>
      </c>
      <c r="J140" s="140">
        <v>279.98377330174498</v>
      </c>
      <c r="K140" s="140">
        <v>327.97474195936593</v>
      </c>
      <c r="L140" s="140">
        <v>376.2532064413403</v>
      </c>
      <c r="M140" s="140">
        <v>422.54135302408673</v>
      </c>
      <c r="N140" s="140">
        <v>463.60362162934553</v>
      </c>
      <c r="O140" s="140">
        <v>500.59280648560286</v>
      </c>
      <c r="P140" s="140">
        <v>533.82531550442911</v>
      </c>
      <c r="Q140" s="140">
        <v>563.79718543593776</v>
      </c>
      <c r="R140" s="140">
        <v>591.00180057721536</v>
      </c>
      <c r="S140" s="140">
        <v>612.77736760457344</v>
      </c>
      <c r="T140" s="140">
        <v>632.75351365612153</v>
      </c>
      <c r="U140" s="140">
        <v>650.60491792152084</v>
      </c>
      <c r="V140" s="140">
        <v>667.5201721650576</v>
      </c>
      <c r="W140" s="140">
        <v>683.58284835837776</v>
      </c>
      <c r="X140" s="140">
        <v>692.30227142927356</v>
      </c>
      <c r="Y140" s="140">
        <v>700.82978149299231</v>
      </c>
      <c r="Z140" s="140">
        <v>707.45905125404761</v>
      </c>
      <c r="AA140" s="139"/>
      <c r="AB140" s="139">
        <f>Z140/8.76</f>
        <v>80.760165668270275</v>
      </c>
    </row>
    <row r="141" spans="1:28" x14ac:dyDescent="0.2">
      <c r="A141" s="127" t="str">
        <f>'Scenario List'!$A$5</f>
        <v>3- Baseline Portfolio</v>
      </c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39"/>
      <c r="AB141" s="139"/>
    </row>
    <row r="142" spans="1:28" x14ac:dyDescent="0.2">
      <c r="A142" s="127" t="str">
        <f>'Scenario List'!$A$5</f>
        <v>3- Baseline Portfolio</v>
      </c>
      <c r="B142" s="141" t="s">
        <v>32</v>
      </c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39"/>
      <c r="AB142" s="139"/>
    </row>
    <row r="143" spans="1:28" x14ac:dyDescent="0.2">
      <c r="A143" s="127" t="str">
        <f>'Scenario List'!$A$5</f>
        <v>3- Baseline Portfolio</v>
      </c>
      <c r="B143" s="128" t="s">
        <v>1</v>
      </c>
      <c r="C143" s="140"/>
      <c r="D143" s="140">
        <v>2.427529777376638</v>
      </c>
      <c r="E143" s="140">
        <v>5.2888259019221788</v>
      </c>
      <c r="F143" s="140">
        <v>8.5544171090792194</v>
      </c>
      <c r="G143" s="140">
        <v>12.072528358216729</v>
      </c>
      <c r="H143" s="140">
        <v>15.906952088534712</v>
      </c>
      <c r="I143" s="140">
        <v>20.080129954283482</v>
      </c>
      <c r="J143" s="140">
        <v>24.432223628235501</v>
      </c>
      <c r="K143" s="140">
        <v>28.660619016487111</v>
      </c>
      <c r="L143" s="140">
        <v>32.905495835275651</v>
      </c>
      <c r="M143" s="140">
        <v>36.967698810917774</v>
      </c>
      <c r="N143" s="140">
        <v>40.594422118675929</v>
      </c>
      <c r="O143" s="140">
        <v>43.847003977816691</v>
      </c>
      <c r="P143" s="140">
        <v>46.741524036822383</v>
      </c>
      <c r="Q143" s="140">
        <v>49.339873873416032</v>
      </c>
      <c r="R143" s="140">
        <v>51.645912082093304</v>
      </c>
      <c r="S143" s="140">
        <v>53.496505308218076</v>
      </c>
      <c r="T143" s="140">
        <v>55.186087779512071</v>
      </c>
      <c r="U143" s="140">
        <v>56.711684942645746</v>
      </c>
      <c r="V143" s="140">
        <v>58.123267936095516</v>
      </c>
      <c r="W143" s="140">
        <v>59.479556545948626</v>
      </c>
      <c r="X143" s="140">
        <v>60.247932991115121</v>
      </c>
      <c r="Y143" s="140">
        <v>61.02298023863208</v>
      </c>
      <c r="Z143" s="140">
        <v>61.575920420870851</v>
      </c>
      <c r="AA143" s="139"/>
      <c r="AB143" s="139">
        <f>Z143</f>
        <v>61.575920420870851</v>
      </c>
    </row>
    <row r="144" spans="1:28" x14ac:dyDescent="0.2">
      <c r="A144" s="127" t="str">
        <f>'Scenario List'!$A$5</f>
        <v>3- Baseline Portfolio</v>
      </c>
      <c r="B144" s="128" t="s">
        <v>2</v>
      </c>
      <c r="C144" s="140"/>
      <c r="D144" s="140">
        <v>0.94966123555381388</v>
      </c>
      <c r="E144" s="140">
        <v>2.0576244290404753</v>
      </c>
      <c r="F144" s="140">
        <v>3.3176840393949023</v>
      </c>
      <c r="G144" s="140">
        <v>4.6637766554113833</v>
      </c>
      <c r="H144" s="140">
        <v>6.1217732226957695</v>
      </c>
      <c r="I144" s="140">
        <v>7.678389635911091</v>
      </c>
      <c r="J144" s="140">
        <v>9.2789235864451793</v>
      </c>
      <c r="K144" s="140">
        <v>10.831606968045872</v>
      </c>
      <c r="L144" s="140">
        <v>12.403917781416945</v>
      </c>
      <c r="M144" s="140">
        <v>13.936856864552023</v>
      </c>
      <c r="N144" s="140">
        <v>15.243812264587072</v>
      </c>
      <c r="O144" s="140">
        <v>16.451849984810771</v>
      </c>
      <c r="P144" s="140">
        <v>17.566336394299672</v>
      </c>
      <c r="Q144" s="140">
        <v>18.607922168855698</v>
      </c>
      <c r="R144" s="140">
        <v>19.563511221896153</v>
      </c>
      <c r="S144" s="140">
        <v>20.344038259942579</v>
      </c>
      <c r="T144" s="140">
        <v>21.069453011801805</v>
      </c>
      <c r="U144" s="140">
        <v>21.730951676918469</v>
      </c>
      <c r="V144" s="140">
        <v>22.33950681598769</v>
      </c>
      <c r="W144" s="140">
        <v>22.928774528653623</v>
      </c>
      <c r="X144" s="140">
        <v>23.221390148377417</v>
      </c>
      <c r="Y144" s="140">
        <v>23.51575598540326</v>
      </c>
      <c r="Z144" s="140">
        <v>23.74226183843594</v>
      </c>
      <c r="AA144" s="139"/>
      <c r="AB144" s="139">
        <f>Z144</f>
        <v>23.74226183843594</v>
      </c>
    </row>
    <row r="145" spans="1:29" x14ac:dyDescent="0.2">
      <c r="A145" s="127" t="str">
        <f>'Scenario List'!$A$5</f>
        <v>3- Baseline Portfolio</v>
      </c>
      <c r="B145" s="128" t="s">
        <v>4</v>
      </c>
      <c r="C145" s="140"/>
      <c r="D145" s="140">
        <v>3.3771910129304521</v>
      </c>
      <c r="E145" s="140">
        <v>7.3464503309626537</v>
      </c>
      <c r="F145" s="140">
        <v>11.872101148474123</v>
      </c>
      <c r="G145" s="140">
        <v>16.736305013628112</v>
      </c>
      <c r="H145" s="140">
        <v>22.028725311230481</v>
      </c>
      <c r="I145" s="140">
        <v>27.758519590194574</v>
      </c>
      <c r="J145" s="140">
        <v>33.711147214680679</v>
      </c>
      <c r="K145" s="140">
        <v>39.492225984532979</v>
      </c>
      <c r="L145" s="140">
        <v>45.309413616692595</v>
      </c>
      <c r="M145" s="140">
        <v>50.904555675469794</v>
      </c>
      <c r="N145" s="140">
        <v>55.838234383263</v>
      </c>
      <c r="O145" s="140">
        <v>60.298853962627462</v>
      </c>
      <c r="P145" s="140">
        <v>64.307860431122052</v>
      </c>
      <c r="Q145" s="140">
        <v>67.947796042271733</v>
      </c>
      <c r="R145" s="140">
        <v>71.209423303989453</v>
      </c>
      <c r="S145" s="140">
        <v>73.840543568160655</v>
      </c>
      <c r="T145" s="140">
        <v>76.255540791313877</v>
      </c>
      <c r="U145" s="140">
        <v>78.442636619564212</v>
      </c>
      <c r="V145" s="140">
        <v>80.462774752083206</v>
      </c>
      <c r="W145" s="140">
        <v>82.408331074602245</v>
      </c>
      <c r="X145" s="140">
        <v>83.469323139492531</v>
      </c>
      <c r="Y145" s="140">
        <v>84.538736224035347</v>
      </c>
      <c r="Z145" s="140">
        <v>85.318182259306795</v>
      </c>
      <c r="AA145" s="139"/>
      <c r="AB145" s="139">
        <f>Z145</f>
        <v>85.318182259306795</v>
      </c>
    </row>
    <row r="146" spans="1:29" x14ac:dyDescent="0.2"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</row>
    <row r="147" spans="1:29" x14ac:dyDescent="0.2">
      <c r="A147" s="127" t="str">
        <f>'Scenario List'!$A$6</f>
        <v>4- No Resource Additions</v>
      </c>
      <c r="B147" s="131" t="s">
        <v>11</v>
      </c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</row>
    <row r="148" spans="1:29" x14ac:dyDescent="0.2">
      <c r="A148" s="127" t="str">
        <f>'Scenario List'!$A$6</f>
        <v>4- No Resource Additions</v>
      </c>
      <c r="B148" s="128" t="s">
        <v>12</v>
      </c>
      <c r="C148" s="140"/>
      <c r="D148" s="140">
        <v>0</v>
      </c>
      <c r="E148" s="140">
        <v>0</v>
      </c>
      <c r="F148" s="140">
        <v>0</v>
      </c>
      <c r="G148" s="140">
        <v>0</v>
      </c>
      <c r="H148" s="140">
        <v>0</v>
      </c>
      <c r="I148" s="140">
        <v>0</v>
      </c>
      <c r="J148" s="140">
        <v>0</v>
      </c>
      <c r="K148" s="140">
        <v>0</v>
      </c>
      <c r="L148" s="140">
        <v>0</v>
      </c>
      <c r="M148" s="140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0</v>
      </c>
      <c r="S148" s="140">
        <v>0</v>
      </c>
      <c r="T148" s="140">
        <v>0</v>
      </c>
      <c r="U148" s="140">
        <v>0</v>
      </c>
      <c r="V148" s="140">
        <v>0</v>
      </c>
      <c r="W148" s="140">
        <v>0</v>
      </c>
      <c r="X148" s="140">
        <v>0</v>
      </c>
      <c r="Y148" s="140">
        <v>0</v>
      </c>
      <c r="Z148" s="140">
        <v>0</v>
      </c>
      <c r="AA148" s="139"/>
      <c r="AB148" s="139">
        <f>SUM(C148:Z148)</f>
        <v>0</v>
      </c>
    </row>
    <row r="149" spans="1:29" x14ac:dyDescent="0.2">
      <c r="A149" s="127" t="str">
        <f>'Scenario List'!$A$6</f>
        <v>4- No Resource Additions</v>
      </c>
      <c r="B149" s="128" t="s">
        <v>13</v>
      </c>
      <c r="C149" s="140"/>
      <c r="D149" s="140">
        <v>0</v>
      </c>
      <c r="E149" s="140">
        <v>0</v>
      </c>
      <c r="F149" s="140">
        <v>0</v>
      </c>
      <c r="G149" s="140">
        <v>0</v>
      </c>
      <c r="H149" s="140">
        <v>0</v>
      </c>
      <c r="I149" s="140">
        <v>0</v>
      </c>
      <c r="J149" s="140">
        <v>0</v>
      </c>
      <c r="K149" s="140">
        <v>0</v>
      </c>
      <c r="L149" s="140">
        <v>0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0</v>
      </c>
      <c r="S149" s="140">
        <v>0</v>
      </c>
      <c r="T149" s="140">
        <v>0</v>
      </c>
      <c r="U149" s="140">
        <v>0</v>
      </c>
      <c r="V149" s="140">
        <v>0</v>
      </c>
      <c r="W149" s="140">
        <v>0</v>
      </c>
      <c r="X149" s="140">
        <v>0</v>
      </c>
      <c r="Y149" s="140">
        <v>0</v>
      </c>
      <c r="Z149" s="140">
        <v>0</v>
      </c>
      <c r="AA149" s="139"/>
      <c r="AB149" s="139">
        <f t="shared" ref="AB149:AB156" si="9">SUM(C149:Z149)</f>
        <v>0</v>
      </c>
    </row>
    <row r="150" spans="1:29" x14ac:dyDescent="0.2">
      <c r="A150" s="127" t="str">
        <f>'Scenario List'!$A$6</f>
        <v>4- No Resource Additions</v>
      </c>
      <c r="B150" s="128" t="s">
        <v>14</v>
      </c>
      <c r="C150" s="140"/>
      <c r="D150" s="140">
        <v>0</v>
      </c>
      <c r="E150" s="140">
        <v>0</v>
      </c>
      <c r="F150" s="140">
        <v>0</v>
      </c>
      <c r="G150" s="140">
        <v>0</v>
      </c>
      <c r="H150" s="140">
        <v>0</v>
      </c>
      <c r="I150" s="140">
        <v>0</v>
      </c>
      <c r="J150" s="140">
        <v>0</v>
      </c>
      <c r="K150" s="140">
        <v>0</v>
      </c>
      <c r="L150" s="140">
        <v>0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0</v>
      </c>
      <c r="S150" s="140">
        <v>0</v>
      </c>
      <c r="T150" s="140">
        <v>0</v>
      </c>
      <c r="U150" s="140">
        <v>0</v>
      </c>
      <c r="V150" s="140">
        <v>0</v>
      </c>
      <c r="W150" s="140">
        <v>0</v>
      </c>
      <c r="X150" s="140">
        <v>0</v>
      </c>
      <c r="Y150" s="140">
        <v>0</v>
      </c>
      <c r="Z150" s="140">
        <v>0</v>
      </c>
      <c r="AA150" s="139"/>
      <c r="AB150" s="139">
        <f t="shared" si="9"/>
        <v>0</v>
      </c>
    </row>
    <row r="151" spans="1:29" x14ac:dyDescent="0.2">
      <c r="A151" s="127" t="str">
        <f>'Scenario List'!$A$6</f>
        <v>4- No Resource Additions</v>
      </c>
      <c r="B151" s="128" t="s">
        <v>15</v>
      </c>
      <c r="C151" s="140"/>
      <c r="D151" s="140">
        <v>0</v>
      </c>
      <c r="E151" s="140">
        <v>0</v>
      </c>
      <c r="F151" s="140">
        <v>0</v>
      </c>
      <c r="G151" s="140">
        <v>0</v>
      </c>
      <c r="H151" s="140">
        <v>0</v>
      </c>
      <c r="I151" s="140">
        <v>0</v>
      </c>
      <c r="J151" s="140">
        <v>0</v>
      </c>
      <c r="K151" s="140">
        <v>0</v>
      </c>
      <c r="L151" s="140">
        <v>0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0</v>
      </c>
      <c r="S151" s="140">
        <v>0</v>
      </c>
      <c r="T151" s="140">
        <v>0</v>
      </c>
      <c r="U151" s="140">
        <v>0</v>
      </c>
      <c r="V151" s="140">
        <v>0</v>
      </c>
      <c r="W151" s="140">
        <v>0</v>
      </c>
      <c r="X151" s="140">
        <v>0</v>
      </c>
      <c r="Y151" s="140">
        <v>0</v>
      </c>
      <c r="Z151" s="140">
        <v>0</v>
      </c>
      <c r="AA151" s="139"/>
      <c r="AB151" s="139">
        <f t="shared" si="9"/>
        <v>0</v>
      </c>
    </row>
    <row r="152" spans="1:29" x14ac:dyDescent="0.2">
      <c r="A152" s="127" t="str">
        <f>'Scenario List'!$A$6</f>
        <v>4- No Resource Additions</v>
      </c>
      <c r="B152" s="128" t="s">
        <v>16</v>
      </c>
      <c r="C152" s="140"/>
      <c r="D152" s="140">
        <v>0</v>
      </c>
      <c r="E152" s="140">
        <v>0</v>
      </c>
      <c r="F152" s="140">
        <v>0</v>
      </c>
      <c r="G152" s="140">
        <v>0</v>
      </c>
      <c r="H152" s="140">
        <v>0</v>
      </c>
      <c r="I152" s="140">
        <v>0</v>
      </c>
      <c r="J152" s="140">
        <v>0</v>
      </c>
      <c r="K152" s="140">
        <v>0</v>
      </c>
      <c r="L152" s="140">
        <v>0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0</v>
      </c>
      <c r="S152" s="140">
        <v>0</v>
      </c>
      <c r="T152" s="140">
        <v>0</v>
      </c>
      <c r="U152" s="140">
        <v>0</v>
      </c>
      <c r="V152" s="140">
        <v>0</v>
      </c>
      <c r="W152" s="140">
        <v>0</v>
      </c>
      <c r="X152" s="140">
        <v>0</v>
      </c>
      <c r="Y152" s="140">
        <v>0</v>
      </c>
      <c r="Z152" s="140">
        <v>0</v>
      </c>
      <c r="AA152" s="139"/>
      <c r="AB152" s="139">
        <f t="shared" si="9"/>
        <v>0</v>
      </c>
    </row>
    <row r="153" spans="1:29" x14ac:dyDescent="0.2">
      <c r="A153" s="127" t="str">
        <f>'Scenario List'!$A$6</f>
        <v>4- No Resource Additions</v>
      </c>
      <c r="B153" s="128" t="s">
        <v>85</v>
      </c>
      <c r="C153" s="140"/>
      <c r="D153" s="140">
        <v>0</v>
      </c>
      <c r="E153" s="140">
        <v>0</v>
      </c>
      <c r="F153" s="140">
        <v>0</v>
      </c>
      <c r="G153" s="140">
        <v>0</v>
      </c>
      <c r="H153" s="140">
        <v>0</v>
      </c>
      <c r="I153" s="140">
        <v>0</v>
      </c>
      <c r="J153" s="140">
        <v>0</v>
      </c>
      <c r="K153" s="140">
        <v>0</v>
      </c>
      <c r="L153" s="140">
        <v>0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0</v>
      </c>
      <c r="S153" s="140">
        <v>0</v>
      </c>
      <c r="T153" s="140">
        <v>0</v>
      </c>
      <c r="U153" s="140">
        <v>0</v>
      </c>
      <c r="V153" s="140">
        <v>0</v>
      </c>
      <c r="W153" s="140">
        <v>0</v>
      </c>
      <c r="X153" s="140">
        <v>0</v>
      </c>
      <c r="Y153" s="140">
        <v>0</v>
      </c>
      <c r="Z153" s="140">
        <v>0</v>
      </c>
      <c r="AA153" s="139"/>
      <c r="AB153" s="139">
        <f t="shared" si="9"/>
        <v>0</v>
      </c>
    </row>
    <row r="154" spans="1:29" x14ac:dyDescent="0.2">
      <c r="A154" s="127" t="str">
        <f>'Scenario List'!$A$6</f>
        <v>4- No Resource Additions</v>
      </c>
      <c r="B154" s="128" t="s">
        <v>86</v>
      </c>
      <c r="C154" s="140"/>
      <c r="D154" s="140">
        <v>0</v>
      </c>
      <c r="E154" s="140">
        <v>0</v>
      </c>
      <c r="F154" s="140">
        <v>0</v>
      </c>
      <c r="G154" s="140">
        <v>0</v>
      </c>
      <c r="H154" s="140">
        <v>0</v>
      </c>
      <c r="I154" s="140">
        <v>0</v>
      </c>
      <c r="J154" s="140">
        <v>0</v>
      </c>
      <c r="K154" s="140">
        <v>0</v>
      </c>
      <c r="L154" s="140">
        <v>0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0</v>
      </c>
      <c r="S154" s="140">
        <v>0</v>
      </c>
      <c r="T154" s="140">
        <v>0</v>
      </c>
      <c r="U154" s="140">
        <v>0</v>
      </c>
      <c r="V154" s="140">
        <v>0</v>
      </c>
      <c r="W154" s="140">
        <v>0</v>
      </c>
      <c r="X154" s="140">
        <v>0</v>
      </c>
      <c r="Y154" s="140">
        <v>0</v>
      </c>
      <c r="Z154" s="140">
        <v>0</v>
      </c>
      <c r="AA154" s="139"/>
      <c r="AB154" s="139">
        <f t="shared" si="9"/>
        <v>0</v>
      </c>
    </row>
    <row r="155" spans="1:29" x14ac:dyDescent="0.2">
      <c r="A155" s="127" t="str">
        <f>'Scenario List'!$A$6</f>
        <v>4- No Resource Additions</v>
      </c>
      <c r="B155" s="128" t="s">
        <v>87</v>
      </c>
      <c r="C155" s="140"/>
      <c r="D155" s="140">
        <v>0</v>
      </c>
      <c r="E155" s="140">
        <v>0</v>
      </c>
      <c r="F155" s="140">
        <v>0</v>
      </c>
      <c r="G155" s="140">
        <v>0</v>
      </c>
      <c r="H155" s="140">
        <v>0</v>
      </c>
      <c r="I155" s="140">
        <v>0</v>
      </c>
      <c r="J155" s="140">
        <v>0</v>
      </c>
      <c r="K155" s="140">
        <v>0</v>
      </c>
      <c r="L155" s="140">
        <v>0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0</v>
      </c>
      <c r="S155" s="140">
        <v>0</v>
      </c>
      <c r="T155" s="140">
        <v>0</v>
      </c>
      <c r="U155" s="140">
        <v>0</v>
      </c>
      <c r="V155" s="140">
        <v>0</v>
      </c>
      <c r="W155" s="140">
        <v>0</v>
      </c>
      <c r="X155" s="140">
        <v>0</v>
      </c>
      <c r="Y155" s="140">
        <v>0</v>
      </c>
      <c r="Z155" s="140">
        <v>0</v>
      </c>
      <c r="AA155" s="139"/>
      <c r="AB155" s="139">
        <f t="shared" si="9"/>
        <v>0</v>
      </c>
    </row>
    <row r="156" spans="1:29" x14ac:dyDescent="0.2">
      <c r="A156" s="127" t="str">
        <f>'Scenario List'!$A$6</f>
        <v>4- No Resource Additions</v>
      </c>
      <c r="B156" s="128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39"/>
      <c r="AB156" s="139">
        <f t="shared" si="9"/>
        <v>0</v>
      </c>
    </row>
    <row r="157" spans="1:29" x14ac:dyDescent="0.2">
      <c r="A157" s="127" t="str">
        <f>'Scenario List'!$A$6</f>
        <v>4- No Resource Additions</v>
      </c>
      <c r="B157" s="128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39"/>
      <c r="AB157" s="139"/>
    </row>
    <row r="158" spans="1:29" x14ac:dyDescent="0.2">
      <c r="A158" s="127" t="str">
        <f>'Scenario List'!$A$6</f>
        <v>4- No Resource Additions</v>
      </c>
      <c r="B158" s="128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39"/>
      <c r="AB158" s="139"/>
    </row>
    <row r="159" spans="1:29" x14ac:dyDescent="0.2">
      <c r="A159" s="127" t="str">
        <f>'Scenario List'!$A$6</f>
        <v>4- No Resource Additions</v>
      </c>
      <c r="B159" s="131" t="s">
        <v>9</v>
      </c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39"/>
      <c r="AB159" s="139"/>
    </row>
    <row r="160" spans="1:29" x14ac:dyDescent="0.2">
      <c r="A160" s="127" t="str">
        <f>'Scenario List'!$A$6</f>
        <v>4- No Resource Additions</v>
      </c>
      <c r="B160" s="128" t="s">
        <v>12</v>
      </c>
      <c r="C160" s="140"/>
      <c r="D160" s="140">
        <v>0</v>
      </c>
      <c r="E160" s="140">
        <v>0</v>
      </c>
      <c r="F160" s="140">
        <v>0</v>
      </c>
      <c r="G160" s="140">
        <v>0</v>
      </c>
      <c r="H160" s="140">
        <v>0</v>
      </c>
      <c r="I160" s="140">
        <v>0</v>
      </c>
      <c r="J160" s="140">
        <v>0</v>
      </c>
      <c r="K160" s="140">
        <v>0</v>
      </c>
      <c r="L160" s="140">
        <v>0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0</v>
      </c>
      <c r="S160" s="140">
        <v>0</v>
      </c>
      <c r="T160" s="140">
        <v>0</v>
      </c>
      <c r="U160" s="140">
        <v>0</v>
      </c>
      <c r="V160" s="140">
        <v>0</v>
      </c>
      <c r="W160" s="140">
        <v>0</v>
      </c>
      <c r="X160" s="140">
        <v>0</v>
      </c>
      <c r="Y160" s="140">
        <v>0</v>
      </c>
      <c r="Z160" s="140">
        <v>0</v>
      </c>
      <c r="AA160" s="139"/>
      <c r="AB160" s="139">
        <f t="shared" ref="AB160:AB170" si="10">SUM(C160:Z160)</f>
        <v>0</v>
      </c>
    </row>
    <row r="161" spans="1:28" x14ac:dyDescent="0.2">
      <c r="A161" s="127" t="str">
        <f>'Scenario List'!$A$6</f>
        <v>4- No Resource Additions</v>
      </c>
      <c r="B161" s="128" t="s">
        <v>13</v>
      </c>
      <c r="C161" s="140"/>
      <c r="D161" s="140">
        <v>0</v>
      </c>
      <c r="E161" s="140">
        <v>0</v>
      </c>
      <c r="F161" s="140">
        <v>0</v>
      </c>
      <c r="G161" s="140">
        <v>0</v>
      </c>
      <c r="H161" s="140">
        <v>0</v>
      </c>
      <c r="I161" s="140">
        <v>0</v>
      </c>
      <c r="J161" s="140">
        <v>0</v>
      </c>
      <c r="K161" s="140">
        <v>0</v>
      </c>
      <c r="L161" s="140">
        <v>0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0</v>
      </c>
      <c r="S161" s="140">
        <v>0</v>
      </c>
      <c r="T161" s="140">
        <v>0</v>
      </c>
      <c r="U161" s="140">
        <v>0</v>
      </c>
      <c r="V161" s="140">
        <v>0</v>
      </c>
      <c r="W161" s="140">
        <v>0</v>
      </c>
      <c r="X161" s="140">
        <v>0</v>
      </c>
      <c r="Y161" s="140">
        <v>0</v>
      </c>
      <c r="Z161" s="140">
        <v>0</v>
      </c>
      <c r="AA161" s="139"/>
      <c r="AB161" s="139">
        <f t="shared" si="10"/>
        <v>0</v>
      </c>
    </row>
    <row r="162" spans="1:28" x14ac:dyDescent="0.2">
      <c r="A162" s="127" t="str">
        <f>'Scenario List'!$A$6</f>
        <v>4- No Resource Additions</v>
      </c>
      <c r="B162" s="128" t="s">
        <v>14</v>
      </c>
      <c r="C162" s="140"/>
      <c r="D162" s="140">
        <v>0</v>
      </c>
      <c r="E162" s="140">
        <v>0</v>
      </c>
      <c r="F162" s="140">
        <v>0</v>
      </c>
      <c r="G162" s="140">
        <v>0</v>
      </c>
      <c r="H162" s="140">
        <v>0</v>
      </c>
      <c r="I162" s="140">
        <v>0</v>
      </c>
      <c r="J162" s="140">
        <v>0</v>
      </c>
      <c r="K162" s="140">
        <v>0</v>
      </c>
      <c r="L162" s="140">
        <v>0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0</v>
      </c>
      <c r="S162" s="140">
        <v>0</v>
      </c>
      <c r="T162" s="140">
        <v>0</v>
      </c>
      <c r="U162" s="140">
        <v>0</v>
      </c>
      <c r="V162" s="140">
        <v>0</v>
      </c>
      <c r="W162" s="140">
        <v>0</v>
      </c>
      <c r="X162" s="140">
        <v>0</v>
      </c>
      <c r="Y162" s="140">
        <v>0</v>
      </c>
      <c r="Z162" s="140">
        <v>0</v>
      </c>
      <c r="AA162" s="139"/>
      <c r="AB162" s="139">
        <f t="shared" si="10"/>
        <v>0</v>
      </c>
    </row>
    <row r="163" spans="1:28" x14ac:dyDescent="0.2">
      <c r="A163" s="127" t="str">
        <f>'Scenario List'!$A$6</f>
        <v>4- No Resource Additions</v>
      </c>
      <c r="B163" s="128" t="s">
        <v>15</v>
      </c>
      <c r="C163" s="140"/>
      <c r="D163" s="140">
        <v>0</v>
      </c>
      <c r="E163" s="140">
        <v>0</v>
      </c>
      <c r="F163" s="140">
        <v>0</v>
      </c>
      <c r="G163" s="140">
        <v>0</v>
      </c>
      <c r="H163" s="140">
        <v>0</v>
      </c>
      <c r="I163" s="140">
        <v>0</v>
      </c>
      <c r="J163" s="140">
        <v>0</v>
      </c>
      <c r="K163" s="140">
        <v>0</v>
      </c>
      <c r="L163" s="140">
        <v>0</v>
      </c>
      <c r="M163" s="140">
        <v>0</v>
      </c>
      <c r="N163" s="140">
        <v>0</v>
      </c>
      <c r="O163" s="140">
        <v>0</v>
      </c>
      <c r="P163" s="140">
        <v>0</v>
      </c>
      <c r="Q163" s="140">
        <v>0</v>
      </c>
      <c r="R163" s="140">
        <v>0</v>
      </c>
      <c r="S163" s="140">
        <v>0</v>
      </c>
      <c r="T163" s="140">
        <v>0</v>
      </c>
      <c r="U163" s="140">
        <v>0</v>
      </c>
      <c r="V163" s="140">
        <v>0</v>
      </c>
      <c r="W163" s="140">
        <v>0</v>
      </c>
      <c r="X163" s="140">
        <v>0</v>
      </c>
      <c r="Y163" s="140">
        <v>0</v>
      </c>
      <c r="Z163" s="140">
        <v>0</v>
      </c>
      <c r="AA163" s="139"/>
      <c r="AB163" s="139">
        <f t="shared" si="10"/>
        <v>0</v>
      </c>
    </row>
    <row r="164" spans="1:28" x14ac:dyDescent="0.2">
      <c r="A164" s="127" t="str">
        <f>'Scenario List'!$A$6</f>
        <v>4- No Resource Additions</v>
      </c>
      <c r="B164" s="128" t="s">
        <v>16</v>
      </c>
      <c r="C164" s="140"/>
      <c r="D164" s="140">
        <v>0</v>
      </c>
      <c r="E164" s="140">
        <v>0</v>
      </c>
      <c r="F164" s="140">
        <v>0</v>
      </c>
      <c r="G164" s="140">
        <v>0</v>
      </c>
      <c r="H164" s="140">
        <v>0</v>
      </c>
      <c r="I164" s="140">
        <v>0</v>
      </c>
      <c r="J164" s="140">
        <v>0</v>
      </c>
      <c r="K164" s="140">
        <v>0</v>
      </c>
      <c r="L164" s="140">
        <v>0</v>
      </c>
      <c r="M164" s="140">
        <v>0</v>
      </c>
      <c r="N164" s="140">
        <v>0</v>
      </c>
      <c r="O164" s="140">
        <v>0</v>
      </c>
      <c r="P164" s="140">
        <v>0</v>
      </c>
      <c r="Q164" s="140">
        <v>0</v>
      </c>
      <c r="R164" s="140">
        <v>0</v>
      </c>
      <c r="S164" s="140">
        <v>0</v>
      </c>
      <c r="T164" s="140">
        <v>0</v>
      </c>
      <c r="U164" s="140">
        <v>0</v>
      </c>
      <c r="V164" s="140">
        <v>0</v>
      </c>
      <c r="W164" s="140">
        <v>0</v>
      </c>
      <c r="X164" s="140">
        <v>0</v>
      </c>
      <c r="Y164" s="140">
        <v>0</v>
      </c>
      <c r="Z164" s="140">
        <v>0</v>
      </c>
      <c r="AA164" s="139"/>
      <c r="AB164" s="139">
        <f t="shared" si="10"/>
        <v>0</v>
      </c>
    </row>
    <row r="165" spans="1:28" x14ac:dyDescent="0.2">
      <c r="A165" s="127" t="str">
        <f>'Scenario List'!$A$6</f>
        <v>4- No Resource Additions</v>
      </c>
      <c r="B165" s="128" t="s">
        <v>85</v>
      </c>
      <c r="C165" s="140"/>
      <c r="D165" s="140">
        <v>0</v>
      </c>
      <c r="E165" s="140">
        <v>0</v>
      </c>
      <c r="F165" s="140">
        <v>0</v>
      </c>
      <c r="G165" s="140">
        <v>0</v>
      </c>
      <c r="H165" s="140">
        <v>0</v>
      </c>
      <c r="I165" s="140">
        <v>0</v>
      </c>
      <c r="J165" s="140">
        <v>0</v>
      </c>
      <c r="K165" s="140">
        <v>0</v>
      </c>
      <c r="L165" s="140">
        <v>0</v>
      </c>
      <c r="M165" s="140">
        <v>0</v>
      </c>
      <c r="N165" s="140">
        <v>0</v>
      </c>
      <c r="O165" s="140">
        <v>0</v>
      </c>
      <c r="P165" s="140">
        <v>0</v>
      </c>
      <c r="Q165" s="140">
        <v>0</v>
      </c>
      <c r="R165" s="140">
        <v>0</v>
      </c>
      <c r="S165" s="140">
        <v>0</v>
      </c>
      <c r="T165" s="140">
        <v>0</v>
      </c>
      <c r="U165" s="140">
        <v>0</v>
      </c>
      <c r="V165" s="140">
        <v>0</v>
      </c>
      <c r="W165" s="140">
        <v>0</v>
      </c>
      <c r="X165" s="140">
        <v>0</v>
      </c>
      <c r="Y165" s="140">
        <v>0</v>
      </c>
      <c r="Z165" s="140">
        <v>0</v>
      </c>
      <c r="AA165" s="139"/>
      <c r="AB165" s="139">
        <f t="shared" si="10"/>
        <v>0</v>
      </c>
    </row>
    <row r="166" spans="1:28" x14ac:dyDescent="0.2">
      <c r="A166" s="127" t="str">
        <f>'Scenario List'!$A$6</f>
        <v>4- No Resource Additions</v>
      </c>
      <c r="B166" s="128" t="s">
        <v>86</v>
      </c>
      <c r="C166" s="140"/>
      <c r="D166" s="140">
        <v>0</v>
      </c>
      <c r="E166" s="140">
        <v>0</v>
      </c>
      <c r="F166" s="140">
        <v>0</v>
      </c>
      <c r="G166" s="140">
        <v>0</v>
      </c>
      <c r="H166" s="140">
        <v>0</v>
      </c>
      <c r="I166" s="140">
        <v>0</v>
      </c>
      <c r="J166" s="140">
        <v>0</v>
      </c>
      <c r="K166" s="140">
        <v>0</v>
      </c>
      <c r="L166" s="140">
        <v>0</v>
      </c>
      <c r="M166" s="140">
        <v>0</v>
      </c>
      <c r="N166" s="140">
        <v>0</v>
      </c>
      <c r="O166" s="140">
        <v>0</v>
      </c>
      <c r="P166" s="140">
        <v>0</v>
      </c>
      <c r="Q166" s="140">
        <v>0</v>
      </c>
      <c r="R166" s="140">
        <v>0</v>
      </c>
      <c r="S166" s="140">
        <v>0</v>
      </c>
      <c r="T166" s="140">
        <v>0</v>
      </c>
      <c r="U166" s="140">
        <v>0</v>
      </c>
      <c r="V166" s="140">
        <v>0</v>
      </c>
      <c r="W166" s="140">
        <v>0</v>
      </c>
      <c r="X166" s="140">
        <v>0</v>
      </c>
      <c r="Y166" s="140">
        <v>0</v>
      </c>
      <c r="Z166" s="140">
        <v>0</v>
      </c>
      <c r="AA166" s="139"/>
      <c r="AB166" s="139">
        <f t="shared" si="10"/>
        <v>0</v>
      </c>
    </row>
    <row r="167" spans="1:28" x14ac:dyDescent="0.2">
      <c r="A167" s="127" t="str">
        <f>'Scenario List'!$A$6</f>
        <v>4- No Resource Additions</v>
      </c>
      <c r="B167" s="128" t="s">
        <v>87</v>
      </c>
      <c r="C167" s="140"/>
      <c r="D167" s="140">
        <v>0</v>
      </c>
      <c r="E167" s="140">
        <v>0</v>
      </c>
      <c r="F167" s="140">
        <v>0</v>
      </c>
      <c r="G167" s="140">
        <v>0</v>
      </c>
      <c r="H167" s="140">
        <v>0</v>
      </c>
      <c r="I167" s="140">
        <v>0</v>
      </c>
      <c r="J167" s="140">
        <v>0</v>
      </c>
      <c r="K167" s="140">
        <v>0</v>
      </c>
      <c r="L167" s="140">
        <v>0</v>
      </c>
      <c r="M167" s="140">
        <v>0</v>
      </c>
      <c r="N167" s="140">
        <v>0</v>
      </c>
      <c r="O167" s="140">
        <v>0</v>
      </c>
      <c r="P167" s="140">
        <v>0</v>
      </c>
      <c r="Q167" s="140">
        <v>0</v>
      </c>
      <c r="R167" s="140">
        <v>0</v>
      </c>
      <c r="S167" s="140">
        <v>0</v>
      </c>
      <c r="T167" s="140">
        <v>0</v>
      </c>
      <c r="U167" s="140">
        <v>0</v>
      </c>
      <c r="V167" s="140">
        <v>0</v>
      </c>
      <c r="W167" s="140">
        <v>0</v>
      </c>
      <c r="X167" s="140">
        <v>0</v>
      </c>
      <c r="Y167" s="140">
        <v>0</v>
      </c>
      <c r="Z167" s="140">
        <v>0</v>
      </c>
      <c r="AA167" s="139"/>
      <c r="AB167" s="139">
        <f t="shared" si="10"/>
        <v>0</v>
      </c>
    </row>
    <row r="168" spans="1:28" x14ac:dyDescent="0.2">
      <c r="A168" s="127" t="str">
        <f>'Scenario List'!$A$6</f>
        <v>4- No Resource Additions</v>
      </c>
      <c r="B168" s="128" t="s">
        <v>17</v>
      </c>
      <c r="C168" s="140"/>
      <c r="D168" s="140">
        <v>0</v>
      </c>
      <c r="E168" s="140">
        <v>0</v>
      </c>
      <c r="F168" s="140">
        <v>0</v>
      </c>
      <c r="G168" s="140">
        <v>0</v>
      </c>
      <c r="H168" s="140">
        <v>0</v>
      </c>
      <c r="I168" s="140">
        <v>0</v>
      </c>
      <c r="J168" s="140">
        <v>0</v>
      </c>
      <c r="K168" s="140">
        <v>0</v>
      </c>
      <c r="L168" s="140">
        <v>0</v>
      </c>
      <c r="M168" s="140">
        <v>0</v>
      </c>
      <c r="N168" s="140">
        <v>0</v>
      </c>
      <c r="O168" s="140">
        <v>0</v>
      </c>
      <c r="P168" s="140">
        <v>0</v>
      </c>
      <c r="Q168" s="140">
        <v>0</v>
      </c>
      <c r="R168" s="140">
        <v>0</v>
      </c>
      <c r="S168" s="140">
        <v>0</v>
      </c>
      <c r="T168" s="140">
        <v>0</v>
      </c>
      <c r="U168" s="140">
        <v>0</v>
      </c>
      <c r="V168" s="140">
        <v>0</v>
      </c>
      <c r="W168" s="140">
        <v>0</v>
      </c>
      <c r="X168" s="140">
        <v>0</v>
      </c>
      <c r="Y168" s="140">
        <v>0</v>
      </c>
      <c r="Z168" s="140">
        <v>0</v>
      </c>
      <c r="AA168" s="139"/>
      <c r="AB168" s="139">
        <f t="shared" si="10"/>
        <v>0</v>
      </c>
    </row>
    <row r="169" spans="1:28" x14ac:dyDescent="0.2">
      <c r="A169" s="127" t="str">
        <f>'Scenario List'!$A$6</f>
        <v>4- No Resource Additions</v>
      </c>
      <c r="B169" s="128" t="s">
        <v>18</v>
      </c>
      <c r="C169" s="140"/>
      <c r="D169" s="140">
        <v>1.4924082571639901</v>
      </c>
      <c r="E169" s="140">
        <v>1.8635390321541856</v>
      </c>
      <c r="F169" s="140">
        <v>2.102613209798379</v>
      </c>
      <c r="G169" s="140">
        <v>2.4796557279561178</v>
      </c>
      <c r="H169" s="140">
        <v>2.6546246364356758</v>
      </c>
      <c r="I169" s="140">
        <v>2.8221318466559318</v>
      </c>
      <c r="J169" s="140">
        <v>2.8333097204145563</v>
      </c>
      <c r="K169" s="140">
        <v>2.7025667648392542</v>
      </c>
      <c r="L169" s="140">
        <v>3.0904666901381148</v>
      </c>
      <c r="M169" s="140">
        <v>3.2590206075522481</v>
      </c>
      <c r="N169" s="140">
        <v>3.1358807197928513</v>
      </c>
      <c r="O169" s="140">
        <v>3.2108253238081659</v>
      </c>
      <c r="P169" s="140">
        <v>3.1532573938147053</v>
      </c>
      <c r="Q169" s="140">
        <v>3.1911690376512851</v>
      </c>
      <c r="R169" s="140">
        <v>2.8680890796783558</v>
      </c>
      <c r="S169" s="140">
        <v>2.5648842698481928</v>
      </c>
      <c r="T169" s="140">
        <v>2.4557598714173494</v>
      </c>
      <c r="U169" s="140">
        <v>2.4649936459563335</v>
      </c>
      <c r="V169" s="140">
        <v>2.1855155765501522</v>
      </c>
      <c r="W169" s="140">
        <v>2.2572620103081462</v>
      </c>
      <c r="X169" s="140">
        <v>1.3726103159461971</v>
      </c>
      <c r="Y169" s="140">
        <v>1.5790497269017081</v>
      </c>
      <c r="Z169" s="140">
        <v>0.87361013080288075</v>
      </c>
      <c r="AA169" s="139"/>
      <c r="AB169" s="139">
        <f t="shared" si="10"/>
        <v>56.613243595584777</v>
      </c>
    </row>
    <row r="170" spans="1:28" x14ac:dyDescent="0.2">
      <c r="A170" s="127" t="str">
        <f>'Scenario List'!$A$6</f>
        <v>4- No Resource Additions</v>
      </c>
      <c r="B170" s="128" t="s">
        <v>19</v>
      </c>
      <c r="C170" s="140"/>
      <c r="D170" s="140">
        <v>1.3991819732249611</v>
      </c>
      <c r="E170" s="140">
        <v>1.7792885076105955</v>
      </c>
      <c r="F170" s="140">
        <v>2.051257485537628</v>
      </c>
      <c r="G170" s="140">
        <v>2.4872656646469657</v>
      </c>
      <c r="H170" s="140">
        <v>2.7227461235550141</v>
      </c>
      <c r="I170" s="140">
        <v>2.9481453118969583</v>
      </c>
      <c r="J170" s="140">
        <v>3.0100621175620574</v>
      </c>
      <c r="K170" s="140">
        <v>2.9364111514453448</v>
      </c>
      <c r="L170" s="140">
        <v>3.3499389997571463</v>
      </c>
      <c r="M170" s="140">
        <v>3.5944327510193546</v>
      </c>
      <c r="N170" s="140">
        <v>3.5115821293446494</v>
      </c>
      <c r="O170" s="140">
        <v>3.5847639775205415</v>
      </c>
      <c r="P170" s="140">
        <v>3.4957049160862326</v>
      </c>
      <c r="Q170" s="140">
        <v>3.4828548671968136</v>
      </c>
      <c r="R170" s="140">
        <v>3.0808692820134524</v>
      </c>
      <c r="S170" s="140">
        <v>2.6597195756024945</v>
      </c>
      <c r="T170" s="140">
        <v>2.5231420426912621</v>
      </c>
      <c r="U170" s="140">
        <v>2.4596556200711461</v>
      </c>
      <c r="V170" s="140">
        <v>2.0864393318602694</v>
      </c>
      <c r="W170" s="140">
        <v>2.1486153188909896</v>
      </c>
      <c r="X170" s="140">
        <v>1.3434569864764256</v>
      </c>
      <c r="Y170" s="140">
        <v>1.5407124218853951</v>
      </c>
      <c r="Z170" s="140">
        <v>0.86011889400235475</v>
      </c>
      <c r="AA170" s="139"/>
      <c r="AB170" s="139">
        <f t="shared" si="10"/>
        <v>59.056365449898053</v>
      </c>
    </row>
    <row r="171" spans="1:28" x14ac:dyDescent="0.2">
      <c r="A171" s="127" t="str">
        <f>'Scenario List'!$A$6</f>
        <v>4- No Resource Additions</v>
      </c>
      <c r="B171" s="128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39"/>
      <c r="AB171" s="139"/>
    </row>
    <row r="172" spans="1:28" x14ac:dyDescent="0.2">
      <c r="A172" s="127" t="str">
        <f>'Scenario List'!$A$6</f>
        <v>4- No Resource Additions</v>
      </c>
      <c r="B172" s="132" t="s">
        <v>8</v>
      </c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39"/>
      <c r="AB172" s="139"/>
    </row>
    <row r="173" spans="1:28" x14ac:dyDescent="0.2">
      <c r="A173" s="127" t="str">
        <f>'Scenario List'!$A$6</f>
        <v>4- No Resource Additions</v>
      </c>
      <c r="B173" s="128" t="s">
        <v>12</v>
      </c>
      <c r="C173" s="140"/>
      <c r="D173" s="140">
        <v>0</v>
      </c>
      <c r="E173" s="140">
        <v>0</v>
      </c>
      <c r="F173" s="140">
        <v>0</v>
      </c>
      <c r="G173" s="140">
        <v>0</v>
      </c>
      <c r="H173" s="140">
        <v>0</v>
      </c>
      <c r="I173" s="140">
        <v>0</v>
      </c>
      <c r="J173" s="140">
        <v>0</v>
      </c>
      <c r="K173" s="140">
        <v>0</v>
      </c>
      <c r="L173" s="140">
        <v>0</v>
      </c>
      <c r="M173" s="140">
        <v>0</v>
      </c>
      <c r="N173" s="140">
        <v>0</v>
      </c>
      <c r="O173" s="140">
        <v>0</v>
      </c>
      <c r="P173" s="140">
        <v>0</v>
      </c>
      <c r="Q173" s="140">
        <v>0</v>
      </c>
      <c r="R173" s="140">
        <v>0</v>
      </c>
      <c r="S173" s="140">
        <v>0</v>
      </c>
      <c r="T173" s="140">
        <v>0</v>
      </c>
      <c r="U173" s="140">
        <v>0</v>
      </c>
      <c r="V173" s="140">
        <v>0</v>
      </c>
      <c r="W173" s="140">
        <v>0</v>
      </c>
      <c r="X173" s="140">
        <v>0</v>
      </c>
      <c r="Y173" s="140">
        <v>0</v>
      </c>
      <c r="Z173" s="140">
        <v>0</v>
      </c>
      <c r="AA173" s="139"/>
      <c r="AB173" s="139">
        <f t="shared" ref="AB173:AB183" si="11">SUM(C173:Z173)</f>
        <v>0</v>
      </c>
    </row>
    <row r="174" spans="1:28" x14ac:dyDescent="0.2">
      <c r="A174" s="127" t="str">
        <f>'Scenario List'!$A$6</f>
        <v>4- No Resource Additions</v>
      </c>
      <c r="B174" s="128" t="s">
        <v>13</v>
      </c>
      <c r="C174" s="140"/>
      <c r="D174" s="140">
        <v>0</v>
      </c>
      <c r="E174" s="140">
        <v>0</v>
      </c>
      <c r="F174" s="140">
        <v>0</v>
      </c>
      <c r="G174" s="140">
        <v>0</v>
      </c>
      <c r="H174" s="140">
        <v>0</v>
      </c>
      <c r="I174" s="140">
        <v>0</v>
      </c>
      <c r="J174" s="140">
        <v>0</v>
      </c>
      <c r="K174" s="140">
        <v>0</v>
      </c>
      <c r="L174" s="140">
        <v>0</v>
      </c>
      <c r="M174" s="140">
        <v>0</v>
      </c>
      <c r="N174" s="140">
        <v>0</v>
      </c>
      <c r="O174" s="140">
        <v>0</v>
      </c>
      <c r="P174" s="140">
        <v>0</v>
      </c>
      <c r="Q174" s="140">
        <v>0</v>
      </c>
      <c r="R174" s="140">
        <v>0</v>
      </c>
      <c r="S174" s="140">
        <v>0</v>
      </c>
      <c r="T174" s="140">
        <v>0</v>
      </c>
      <c r="U174" s="140">
        <v>0</v>
      </c>
      <c r="V174" s="140">
        <v>0</v>
      </c>
      <c r="W174" s="140">
        <v>0</v>
      </c>
      <c r="X174" s="140">
        <v>0</v>
      </c>
      <c r="Y174" s="140">
        <v>0</v>
      </c>
      <c r="Z174" s="140">
        <v>0</v>
      </c>
      <c r="AA174" s="139"/>
      <c r="AB174" s="139">
        <f t="shared" si="11"/>
        <v>0</v>
      </c>
    </row>
    <row r="175" spans="1:28" x14ac:dyDescent="0.2">
      <c r="A175" s="127" t="str">
        <f>'Scenario List'!$A$6</f>
        <v>4- No Resource Additions</v>
      </c>
      <c r="B175" s="128" t="s">
        <v>14</v>
      </c>
      <c r="C175" s="140"/>
      <c r="D175" s="140">
        <v>0</v>
      </c>
      <c r="E175" s="140">
        <v>0</v>
      </c>
      <c r="F175" s="140">
        <v>0</v>
      </c>
      <c r="G175" s="140">
        <v>0</v>
      </c>
      <c r="H175" s="140">
        <v>0</v>
      </c>
      <c r="I175" s="140">
        <v>0</v>
      </c>
      <c r="J175" s="140">
        <v>0</v>
      </c>
      <c r="K175" s="140">
        <v>0</v>
      </c>
      <c r="L175" s="140">
        <v>0</v>
      </c>
      <c r="M175" s="140">
        <v>0</v>
      </c>
      <c r="N175" s="140">
        <v>0</v>
      </c>
      <c r="O175" s="140">
        <v>0</v>
      </c>
      <c r="P175" s="140">
        <v>0</v>
      </c>
      <c r="Q175" s="140">
        <v>0</v>
      </c>
      <c r="R175" s="140">
        <v>0</v>
      </c>
      <c r="S175" s="140">
        <v>0</v>
      </c>
      <c r="T175" s="140">
        <v>0</v>
      </c>
      <c r="U175" s="140">
        <v>0</v>
      </c>
      <c r="V175" s="140">
        <v>0</v>
      </c>
      <c r="W175" s="140">
        <v>0</v>
      </c>
      <c r="X175" s="140">
        <v>0</v>
      </c>
      <c r="Y175" s="140">
        <v>0</v>
      </c>
      <c r="Z175" s="140">
        <v>0</v>
      </c>
      <c r="AA175" s="139"/>
      <c r="AB175" s="139">
        <f t="shared" si="11"/>
        <v>0</v>
      </c>
    </row>
    <row r="176" spans="1:28" x14ac:dyDescent="0.2">
      <c r="A176" s="127" t="str">
        <f>'Scenario List'!$A$6</f>
        <v>4- No Resource Additions</v>
      </c>
      <c r="B176" s="128" t="s">
        <v>15</v>
      </c>
      <c r="C176" s="140"/>
      <c r="D176" s="140">
        <v>0</v>
      </c>
      <c r="E176" s="140">
        <v>0</v>
      </c>
      <c r="F176" s="140">
        <v>0</v>
      </c>
      <c r="G176" s="140">
        <v>0</v>
      </c>
      <c r="H176" s="140">
        <v>0</v>
      </c>
      <c r="I176" s="140">
        <v>0</v>
      </c>
      <c r="J176" s="140">
        <v>0</v>
      </c>
      <c r="K176" s="140">
        <v>0</v>
      </c>
      <c r="L176" s="140">
        <v>0</v>
      </c>
      <c r="M176" s="140">
        <v>0</v>
      </c>
      <c r="N176" s="140">
        <v>0</v>
      </c>
      <c r="O176" s="140">
        <v>0</v>
      </c>
      <c r="P176" s="140">
        <v>0</v>
      </c>
      <c r="Q176" s="140">
        <v>0</v>
      </c>
      <c r="R176" s="140">
        <v>0</v>
      </c>
      <c r="S176" s="140">
        <v>0</v>
      </c>
      <c r="T176" s="140">
        <v>0</v>
      </c>
      <c r="U176" s="140">
        <v>0</v>
      </c>
      <c r="V176" s="140">
        <v>0</v>
      </c>
      <c r="W176" s="140">
        <v>0</v>
      </c>
      <c r="X176" s="140">
        <v>0</v>
      </c>
      <c r="Y176" s="140">
        <v>0</v>
      </c>
      <c r="Z176" s="140">
        <v>0</v>
      </c>
      <c r="AA176" s="139"/>
      <c r="AB176" s="139">
        <f t="shared" si="11"/>
        <v>0</v>
      </c>
    </row>
    <row r="177" spans="1:28" x14ac:dyDescent="0.2">
      <c r="A177" s="127" t="str">
        <f>'Scenario List'!$A$6</f>
        <v>4- No Resource Additions</v>
      </c>
      <c r="B177" s="128" t="s">
        <v>16</v>
      </c>
      <c r="C177" s="140"/>
      <c r="D177" s="140">
        <v>0</v>
      </c>
      <c r="E177" s="140">
        <v>0</v>
      </c>
      <c r="F177" s="140">
        <v>0</v>
      </c>
      <c r="G177" s="140">
        <v>0</v>
      </c>
      <c r="H177" s="140">
        <v>0</v>
      </c>
      <c r="I177" s="140">
        <v>0</v>
      </c>
      <c r="J177" s="140">
        <v>0</v>
      </c>
      <c r="K177" s="140">
        <v>0</v>
      </c>
      <c r="L177" s="140">
        <v>0</v>
      </c>
      <c r="M177" s="140">
        <v>0</v>
      </c>
      <c r="N177" s="140">
        <v>0</v>
      </c>
      <c r="O177" s="140">
        <v>0</v>
      </c>
      <c r="P177" s="140">
        <v>0</v>
      </c>
      <c r="Q177" s="140">
        <v>0</v>
      </c>
      <c r="R177" s="140">
        <v>0</v>
      </c>
      <c r="S177" s="140">
        <v>0</v>
      </c>
      <c r="T177" s="140">
        <v>0</v>
      </c>
      <c r="U177" s="140">
        <v>0</v>
      </c>
      <c r="V177" s="140">
        <v>0</v>
      </c>
      <c r="W177" s="140">
        <v>0</v>
      </c>
      <c r="X177" s="140">
        <v>0</v>
      </c>
      <c r="Y177" s="140">
        <v>0</v>
      </c>
      <c r="Z177" s="140">
        <v>0</v>
      </c>
      <c r="AA177" s="139"/>
      <c r="AB177" s="139">
        <f t="shared" si="11"/>
        <v>0</v>
      </c>
    </row>
    <row r="178" spans="1:28" x14ac:dyDescent="0.2">
      <c r="A178" s="127" t="str">
        <f>'Scenario List'!$A$6</f>
        <v>4- No Resource Additions</v>
      </c>
      <c r="B178" s="128" t="s">
        <v>85</v>
      </c>
      <c r="C178" s="140"/>
      <c r="D178" s="140">
        <v>0</v>
      </c>
      <c r="E178" s="140">
        <v>0</v>
      </c>
      <c r="F178" s="140">
        <v>0</v>
      </c>
      <c r="G178" s="140">
        <v>0</v>
      </c>
      <c r="H178" s="140">
        <v>0</v>
      </c>
      <c r="I178" s="140">
        <v>0</v>
      </c>
      <c r="J178" s="140">
        <v>0</v>
      </c>
      <c r="K178" s="140">
        <v>0</v>
      </c>
      <c r="L178" s="140">
        <v>0</v>
      </c>
      <c r="M178" s="140">
        <v>0</v>
      </c>
      <c r="N178" s="140">
        <v>0</v>
      </c>
      <c r="O178" s="140">
        <v>0</v>
      </c>
      <c r="P178" s="140">
        <v>0</v>
      </c>
      <c r="Q178" s="140">
        <v>0</v>
      </c>
      <c r="R178" s="140">
        <v>0</v>
      </c>
      <c r="S178" s="140">
        <v>0</v>
      </c>
      <c r="T178" s="140">
        <v>0</v>
      </c>
      <c r="U178" s="140">
        <v>0</v>
      </c>
      <c r="V178" s="140">
        <v>0</v>
      </c>
      <c r="W178" s="140">
        <v>0</v>
      </c>
      <c r="X178" s="140">
        <v>0</v>
      </c>
      <c r="Y178" s="140">
        <v>0</v>
      </c>
      <c r="Z178" s="140">
        <v>0</v>
      </c>
      <c r="AA178" s="139"/>
      <c r="AB178" s="139">
        <f t="shared" si="11"/>
        <v>0</v>
      </c>
    </row>
    <row r="179" spans="1:28" x14ac:dyDescent="0.2">
      <c r="A179" s="127" t="str">
        <f>'Scenario List'!$A$6</f>
        <v>4- No Resource Additions</v>
      </c>
      <c r="B179" s="128" t="s">
        <v>86</v>
      </c>
      <c r="C179" s="140"/>
      <c r="D179" s="140">
        <v>0</v>
      </c>
      <c r="E179" s="140">
        <v>0</v>
      </c>
      <c r="F179" s="140">
        <v>0</v>
      </c>
      <c r="G179" s="140">
        <v>0</v>
      </c>
      <c r="H179" s="140">
        <v>0</v>
      </c>
      <c r="I179" s="140">
        <v>0</v>
      </c>
      <c r="J179" s="140">
        <v>0</v>
      </c>
      <c r="K179" s="140">
        <v>0</v>
      </c>
      <c r="L179" s="140">
        <v>0</v>
      </c>
      <c r="M179" s="140">
        <v>0</v>
      </c>
      <c r="N179" s="140">
        <v>0</v>
      </c>
      <c r="O179" s="140">
        <v>0</v>
      </c>
      <c r="P179" s="140">
        <v>0</v>
      </c>
      <c r="Q179" s="140">
        <v>0</v>
      </c>
      <c r="R179" s="140">
        <v>0</v>
      </c>
      <c r="S179" s="140">
        <v>0</v>
      </c>
      <c r="T179" s="140">
        <v>0</v>
      </c>
      <c r="U179" s="140">
        <v>0</v>
      </c>
      <c r="V179" s="140">
        <v>0</v>
      </c>
      <c r="W179" s="140">
        <v>0</v>
      </c>
      <c r="X179" s="140">
        <v>0</v>
      </c>
      <c r="Y179" s="140">
        <v>0</v>
      </c>
      <c r="Z179" s="140">
        <v>0</v>
      </c>
      <c r="AA179" s="139"/>
      <c r="AB179" s="139">
        <f t="shared" si="11"/>
        <v>0</v>
      </c>
    </row>
    <row r="180" spans="1:28" x14ac:dyDescent="0.2">
      <c r="A180" s="127" t="str">
        <f>'Scenario List'!$A$6</f>
        <v>4- No Resource Additions</v>
      </c>
      <c r="B180" s="128" t="s">
        <v>87</v>
      </c>
      <c r="C180" s="140"/>
      <c r="D180" s="140">
        <v>0</v>
      </c>
      <c r="E180" s="140">
        <v>0</v>
      </c>
      <c r="F180" s="140">
        <v>0</v>
      </c>
      <c r="G180" s="140">
        <v>0</v>
      </c>
      <c r="H180" s="140">
        <v>0</v>
      </c>
      <c r="I180" s="140">
        <v>0</v>
      </c>
      <c r="J180" s="140">
        <v>0</v>
      </c>
      <c r="K180" s="140">
        <v>0</v>
      </c>
      <c r="L180" s="140">
        <v>0</v>
      </c>
      <c r="M180" s="140">
        <v>0</v>
      </c>
      <c r="N180" s="140">
        <v>0</v>
      </c>
      <c r="O180" s="140">
        <v>0</v>
      </c>
      <c r="P180" s="140">
        <v>0</v>
      </c>
      <c r="Q180" s="140">
        <v>0</v>
      </c>
      <c r="R180" s="140">
        <v>0</v>
      </c>
      <c r="S180" s="140">
        <v>0</v>
      </c>
      <c r="T180" s="140">
        <v>0</v>
      </c>
      <c r="U180" s="140">
        <v>0</v>
      </c>
      <c r="V180" s="140">
        <v>0</v>
      </c>
      <c r="W180" s="140">
        <v>0</v>
      </c>
      <c r="X180" s="140">
        <v>0</v>
      </c>
      <c r="Y180" s="140">
        <v>0</v>
      </c>
      <c r="Z180" s="140">
        <v>0</v>
      </c>
      <c r="AA180" s="139"/>
      <c r="AB180" s="139">
        <f t="shared" si="11"/>
        <v>0</v>
      </c>
    </row>
    <row r="181" spans="1:28" x14ac:dyDescent="0.2">
      <c r="A181" s="127" t="str">
        <f>'Scenario List'!$A$6</f>
        <v>4- No Resource Additions</v>
      </c>
      <c r="B181" s="128" t="s">
        <v>17</v>
      </c>
      <c r="C181" s="140"/>
      <c r="D181" s="140">
        <v>0</v>
      </c>
      <c r="E181" s="140">
        <v>0</v>
      </c>
      <c r="F181" s="140">
        <v>0</v>
      </c>
      <c r="G181" s="140">
        <v>0</v>
      </c>
      <c r="H181" s="140">
        <v>0</v>
      </c>
      <c r="I181" s="140">
        <v>0</v>
      </c>
      <c r="J181" s="140">
        <v>0</v>
      </c>
      <c r="K181" s="140">
        <v>0</v>
      </c>
      <c r="L181" s="140">
        <v>0</v>
      </c>
      <c r="M181" s="140">
        <v>0</v>
      </c>
      <c r="N181" s="140">
        <v>0</v>
      </c>
      <c r="O181" s="140">
        <v>0</v>
      </c>
      <c r="P181" s="140">
        <v>0</v>
      </c>
      <c r="Q181" s="140">
        <v>0</v>
      </c>
      <c r="R181" s="140">
        <v>0</v>
      </c>
      <c r="S181" s="140">
        <v>0</v>
      </c>
      <c r="T181" s="140">
        <v>0</v>
      </c>
      <c r="U181" s="140">
        <v>0</v>
      </c>
      <c r="V181" s="140">
        <v>0</v>
      </c>
      <c r="W181" s="140">
        <v>0</v>
      </c>
      <c r="X181" s="140">
        <v>0</v>
      </c>
      <c r="Y181" s="140">
        <v>0</v>
      </c>
      <c r="Z181" s="140">
        <v>0</v>
      </c>
      <c r="AA181" s="139"/>
      <c r="AB181" s="139">
        <f t="shared" si="11"/>
        <v>0</v>
      </c>
    </row>
    <row r="182" spans="1:28" x14ac:dyDescent="0.2">
      <c r="A182" s="127" t="str">
        <f>'Scenario List'!$A$6</f>
        <v>4- No Resource Additions</v>
      </c>
      <c r="B182" s="128" t="s">
        <v>18</v>
      </c>
      <c r="C182" s="140"/>
      <c r="D182" s="140">
        <v>0.66437725400667191</v>
      </c>
      <c r="E182" s="140">
        <v>0.816499810612757</v>
      </c>
      <c r="F182" s="140">
        <v>0.94202104937270636</v>
      </c>
      <c r="G182" s="140">
        <v>1.095721003781517</v>
      </c>
      <c r="H182" s="140">
        <v>1.1782755847767064</v>
      </c>
      <c r="I182" s="140">
        <v>1.246565218770848</v>
      </c>
      <c r="J182" s="140">
        <v>1.2385751546440043</v>
      </c>
      <c r="K182" s="140">
        <v>1.2166124635043376</v>
      </c>
      <c r="L182" s="140">
        <v>1.3284920882556861</v>
      </c>
      <c r="M182" s="140">
        <v>1.3859042306184577</v>
      </c>
      <c r="N182" s="140">
        <v>1.3094680135099495</v>
      </c>
      <c r="O182" s="140">
        <v>1.3384483637380864</v>
      </c>
      <c r="P182" s="140">
        <v>1.3025729903840926</v>
      </c>
      <c r="Q182" s="140">
        <v>1.3131186548493332</v>
      </c>
      <c r="R182" s="140">
        <v>1.1756854209753165</v>
      </c>
      <c r="S182" s="140">
        <v>1.0394567848054344</v>
      </c>
      <c r="T182" s="140">
        <v>0.99916879372752732</v>
      </c>
      <c r="U182" s="140">
        <v>1.0048033599403929</v>
      </c>
      <c r="V182" s="140">
        <v>0.8650249969130428</v>
      </c>
      <c r="W182" s="140">
        <v>0.91371928109441214</v>
      </c>
      <c r="X182" s="140">
        <v>0.50528776705256107</v>
      </c>
      <c r="Y182" s="140">
        <v>0.5667462536461656</v>
      </c>
      <c r="Z182" s="140">
        <v>0.34474468614308762</v>
      </c>
      <c r="AA182" s="139"/>
      <c r="AB182" s="139">
        <f>SUM(C182:Z182)</f>
        <v>23.791289225123094</v>
      </c>
    </row>
    <row r="183" spans="1:28" x14ac:dyDescent="0.2">
      <c r="A183" s="127" t="str">
        <f>'Scenario List'!$A$6</f>
        <v>4- No Resource Additions</v>
      </c>
      <c r="B183" s="128" t="s">
        <v>19</v>
      </c>
      <c r="C183" s="140"/>
      <c r="D183" s="140">
        <v>0.61444813589337799</v>
      </c>
      <c r="E183" s="140">
        <v>0.77308007210008678</v>
      </c>
      <c r="F183" s="140">
        <v>0.91115742167673641</v>
      </c>
      <c r="G183" s="140">
        <v>1.087984377211618</v>
      </c>
      <c r="H183" s="140">
        <v>1.1921191886991807</v>
      </c>
      <c r="I183" s="140">
        <v>1.2832784084577309</v>
      </c>
      <c r="J183" s="140">
        <v>1.2953591875974135</v>
      </c>
      <c r="K183" s="140">
        <v>1.2910764374226513</v>
      </c>
      <c r="L183" s="140">
        <v>1.4133621848756306</v>
      </c>
      <c r="M183" s="140">
        <v>1.490041276032823</v>
      </c>
      <c r="N183" s="140">
        <v>1.4244211011691075</v>
      </c>
      <c r="O183" s="140">
        <v>1.4531559474064579</v>
      </c>
      <c r="P183" s="140">
        <v>1.4016532971350824</v>
      </c>
      <c r="Q183" s="140">
        <v>1.3920148992098316</v>
      </c>
      <c r="R183" s="140">
        <v>1.2234942711483718</v>
      </c>
      <c r="S183" s="140">
        <v>1.0636840359843305</v>
      </c>
      <c r="T183" s="140">
        <v>1.0211813360425239</v>
      </c>
      <c r="U183" s="140">
        <v>0.99617186983970996</v>
      </c>
      <c r="V183" s="140">
        <v>0.82973558988398821</v>
      </c>
      <c r="W183" s="140">
        <v>0.86519984183563992</v>
      </c>
      <c r="X183" s="140">
        <v>0.49387057597452966</v>
      </c>
      <c r="Y183" s="140">
        <v>0.55910472881689088</v>
      </c>
      <c r="Z183" s="140">
        <v>0.33743243237116261</v>
      </c>
      <c r="AA183" s="139"/>
      <c r="AB183" s="139">
        <f t="shared" si="11"/>
        <v>24.413026616784876</v>
      </c>
    </row>
    <row r="184" spans="1:28" x14ac:dyDescent="0.2">
      <c r="A184" s="127" t="str">
        <f>'Scenario List'!$A$6</f>
        <v>4- No Resource Additions</v>
      </c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39"/>
      <c r="AB184" s="139"/>
    </row>
    <row r="185" spans="1:28" x14ac:dyDescent="0.2">
      <c r="A185" s="127" t="str">
        <f>'Scenario List'!$A$6</f>
        <v>4- No Resource Additions</v>
      </c>
      <c r="B185" s="131" t="s">
        <v>31</v>
      </c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39"/>
      <c r="AB185" s="139"/>
    </row>
    <row r="186" spans="1:28" x14ac:dyDescent="0.2">
      <c r="A186" s="127" t="str">
        <f>'Scenario List'!$A$6</f>
        <v>4- No Resource Additions</v>
      </c>
      <c r="B186" s="128" t="s">
        <v>1</v>
      </c>
      <c r="C186" s="140"/>
      <c r="D186" s="140">
        <v>20.170204069932211</v>
      </c>
      <c r="E186" s="140">
        <v>43.928607992044284</v>
      </c>
      <c r="F186" s="140">
        <v>71.069419755647786</v>
      </c>
      <c r="G186" s="140">
        <v>100.28867042079591</v>
      </c>
      <c r="H186" s="140">
        <v>132.13197274589206</v>
      </c>
      <c r="I186" s="140">
        <v>166.7324624594273</v>
      </c>
      <c r="J186" s="140">
        <v>202.9188184541274</v>
      </c>
      <c r="K186" s="140">
        <v>238.02049370293011</v>
      </c>
      <c r="L186" s="140">
        <v>273.25002310185334</v>
      </c>
      <c r="M186" s="140">
        <v>306.85625807746982</v>
      </c>
      <c r="N186" s="140">
        <v>337.04004648332619</v>
      </c>
      <c r="O186" s="140">
        <v>364.01180677088104</v>
      </c>
      <c r="P186" s="140">
        <v>388.00558203526538</v>
      </c>
      <c r="Q186" s="140">
        <v>409.39785599805265</v>
      </c>
      <c r="R186" s="140">
        <v>428.63466121007406</v>
      </c>
      <c r="S186" s="140">
        <v>443.94916552115149</v>
      </c>
      <c r="T186" s="140">
        <v>457.92332707837244</v>
      </c>
      <c r="U186" s="140">
        <v>470.36793658712133</v>
      </c>
      <c r="V186" s="140">
        <v>482.19134797348573</v>
      </c>
      <c r="W186" s="140">
        <v>493.38706599773053</v>
      </c>
      <c r="X186" s="140">
        <v>499.70191789931732</v>
      </c>
      <c r="Y186" s="140">
        <v>505.88314678906789</v>
      </c>
      <c r="Z186" s="140">
        <v>510.58802575679556</v>
      </c>
      <c r="AA186" s="139"/>
      <c r="AB186" s="139">
        <f>Z186/8.76</f>
        <v>58.28630431013648</v>
      </c>
    </row>
    <row r="187" spans="1:28" x14ac:dyDescent="0.2">
      <c r="A187" s="127" t="str">
        <f>'Scenario List'!$A$6</f>
        <v>4- No Resource Additions</v>
      </c>
      <c r="B187" s="128" t="s">
        <v>2</v>
      </c>
      <c r="C187" s="140"/>
      <c r="D187" s="140">
        <v>7.8906801050101993</v>
      </c>
      <c r="E187" s="140">
        <v>17.090480688035459</v>
      </c>
      <c r="F187" s="140">
        <v>27.563056209228506</v>
      </c>
      <c r="G187" s="140">
        <v>38.742833815479479</v>
      </c>
      <c r="H187" s="140">
        <v>50.850846103178561</v>
      </c>
      <c r="I187" s="140">
        <v>63.756400712707183</v>
      </c>
      <c r="J187" s="140">
        <v>77.064954846155914</v>
      </c>
      <c r="K187" s="140">
        <v>89.95424825487018</v>
      </c>
      <c r="L187" s="140">
        <v>103.00318333789892</v>
      </c>
      <c r="M187" s="140">
        <v>115.68509494502122</v>
      </c>
      <c r="N187" s="140">
        <v>126.56357514446582</v>
      </c>
      <c r="O187" s="140">
        <v>136.58099971321056</v>
      </c>
      <c r="P187" s="140">
        <v>145.81973346769516</v>
      </c>
      <c r="Q187" s="140">
        <v>154.39932943645599</v>
      </c>
      <c r="R187" s="140">
        <v>162.36713936574498</v>
      </c>
      <c r="S187" s="140">
        <v>168.82820208205672</v>
      </c>
      <c r="T187" s="140">
        <v>174.83018657640602</v>
      </c>
      <c r="U187" s="140">
        <v>180.2369813330813</v>
      </c>
      <c r="V187" s="140">
        <v>185.3288241902757</v>
      </c>
      <c r="W187" s="140">
        <v>190.19578235937129</v>
      </c>
      <c r="X187" s="140">
        <v>192.60035352869377</v>
      </c>
      <c r="Y187" s="140">
        <v>194.94663470267355</v>
      </c>
      <c r="Z187" s="140">
        <v>196.87102549600829</v>
      </c>
      <c r="AA187" s="139"/>
      <c r="AB187" s="139">
        <f>Z187/8.76</f>
        <v>22.473861357991815</v>
      </c>
    </row>
    <row r="188" spans="1:28" x14ac:dyDescent="0.2">
      <c r="A188" s="127" t="str">
        <f>'Scenario List'!$A$6</f>
        <v>4- No Resource Additions</v>
      </c>
      <c r="B188" s="128" t="s">
        <v>4</v>
      </c>
      <c r="C188" s="140"/>
      <c r="D188" s="140">
        <v>28.060884174942409</v>
      </c>
      <c r="E188" s="140">
        <v>61.019088680079747</v>
      </c>
      <c r="F188" s="140">
        <v>98.632475964876292</v>
      </c>
      <c r="G188" s="140">
        <v>139.0315042362754</v>
      </c>
      <c r="H188" s="140">
        <v>182.98281884907061</v>
      </c>
      <c r="I188" s="140">
        <v>230.48886317213447</v>
      </c>
      <c r="J188" s="140">
        <v>279.9837733002833</v>
      </c>
      <c r="K188" s="140">
        <v>327.97474195780029</v>
      </c>
      <c r="L188" s="140">
        <v>376.25320643975226</v>
      </c>
      <c r="M188" s="140">
        <v>422.54135302249102</v>
      </c>
      <c r="N188" s="140">
        <v>463.60362162779199</v>
      </c>
      <c r="O188" s="140">
        <v>500.59280648409162</v>
      </c>
      <c r="P188" s="140">
        <v>533.82531550296051</v>
      </c>
      <c r="Q188" s="140">
        <v>563.79718543450861</v>
      </c>
      <c r="R188" s="140">
        <v>591.00180057581906</v>
      </c>
      <c r="S188" s="140">
        <v>612.77736760320818</v>
      </c>
      <c r="T188" s="140">
        <v>632.75351365477843</v>
      </c>
      <c r="U188" s="140">
        <v>650.60491792020264</v>
      </c>
      <c r="V188" s="140">
        <v>667.52017216376146</v>
      </c>
      <c r="W188" s="140">
        <v>683.58284835710185</v>
      </c>
      <c r="X188" s="140">
        <v>692.30227142801107</v>
      </c>
      <c r="Y188" s="140">
        <v>700.82978149174141</v>
      </c>
      <c r="Z188" s="140">
        <v>707.45905125280387</v>
      </c>
      <c r="AA188" s="139"/>
      <c r="AB188" s="139">
        <f>Z188/8.76</f>
        <v>80.760165668128295</v>
      </c>
    </row>
    <row r="189" spans="1:28" x14ac:dyDescent="0.2">
      <c r="A189" s="127" t="str">
        <f>'Scenario List'!$A$6</f>
        <v>4- No Resource Additions</v>
      </c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39"/>
      <c r="AB189" s="139"/>
    </row>
    <row r="190" spans="1:28" x14ac:dyDescent="0.2">
      <c r="A190" s="127" t="str">
        <f>'Scenario List'!$A$6</f>
        <v>4- No Resource Additions</v>
      </c>
      <c r="B190" s="141" t="s">
        <v>32</v>
      </c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39"/>
      <c r="AB190" s="139"/>
    </row>
    <row r="191" spans="1:28" x14ac:dyDescent="0.2">
      <c r="A191" s="127" t="str">
        <f>'Scenario List'!$A$6</f>
        <v>4- No Resource Additions</v>
      </c>
      <c r="B191" s="128" t="s">
        <v>1</v>
      </c>
      <c r="C191" s="140"/>
      <c r="D191" s="140">
        <v>2.4275297773460589</v>
      </c>
      <c r="E191" s="140">
        <v>5.2888259018630963</v>
      </c>
      <c r="F191" s="140">
        <v>8.5544171089933378</v>
      </c>
      <c r="G191" s="140">
        <v>12.072528358105743</v>
      </c>
      <c r="H191" s="140">
        <v>15.906952088398148</v>
      </c>
      <c r="I191" s="140">
        <v>20.080129954124587</v>
      </c>
      <c r="J191" s="140">
        <v>24.432223628059511</v>
      </c>
      <c r="K191" s="140">
        <v>28.660619016298586</v>
      </c>
      <c r="L191" s="140">
        <v>32.905495835084416</v>
      </c>
      <c r="M191" s="140">
        <v>36.967698810725544</v>
      </c>
      <c r="N191" s="140">
        <v>40.594422118488815</v>
      </c>
      <c r="O191" s="140">
        <v>43.84700397763465</v>
      </c>
      <c r="P191" s="140">
        <v>46.741524036645465</v>
      </c>
      <c r="Q191" s="140">
        <v>49.339873873243803</v>
      </c>
      <c r="R191" s="140">
        <v>51.645912081925069</v>
      </c>
      <c r="S191" s="140">
        <v>53.496505308053564</v>
      </c>
      <c r="T191" s="140">
        <v>55.18608777935021</v>
      </c>
      <c r="U191" s="140">
        <v>56.711684942486812</v>
      </c>
      <c r="V191" s="140">
        <v>58.123267935939268</v>
      </c>
      <c r="W191" s="140">
        <v>59.479556545794807</v>
      </c>
      <c r="X191" s="140">
        <v>60.247932990962902</v>
      </c>
      <c r="Y191" s="140">
        <v>61.022980238481189</v>
      </c>
      <c r="Z191" s="140">
        <v>61.57592042072087</v>
      </c>
      <c r="AA191" s="139"/>
      <c r="AB191" s="139">
        <f>Z191</f>
        <v>61.57592042072087</v>
      </c>
    </row>
    <row r="192" spans="1:28" x14ac:dyDescent="0.2">
      <c r="A192" s="127" t="str">
        <f>'Scenario List'!$A$6</f>
        <v>4- No Resource Additions</v>
      </c>
      <c r="B192" s="128" t="s">
        <v>2</v>
      </c>
      <c r="C192" s="140"/>
      <c r="D192" s="140">
        <v>0.94966123555381388</v>
      </c>
      <c r="E192" s="140">
        <v>2.0576244290404753</v>
      </c>
      <c r="F192" s="140">
        <v>3.3176840393949023</v>
      </c>
      <c r="G192" s="140">
        <v>4.6637766554113833</v>
      </c>
      <c r="H192" s="140">
        <v>6.1217732226957695</v>
      </c>
      <c r="I192" s="140">
        <v>7.678389635911091</v>
      </c>
      <c r="J192" s="140">
        <v>9.2789235864451793</v>
      </c>
      <c r="K192" s="140">
        <v>10.831606968045872</v>
      </c>
      <c r="L192" s="140">
        <v>12.403917781416945</v>
      </c>
      <c r="M192" s="140">
        <v>13.936856864552023</v>
      </c>
      <c r="N192" s="140">
        <v>15.243812264587072</v>
      </c>
      <c r="O192" s="140">
        <v>16.451849984810771</v>
      </c>
      <c r="P192" s="140">
        <v>17.566336394299672</v>
      </c>
      <c r="Q192" s="140">
        <v>18.607922168855698</v>
      </c>
      <c r="R192" s="140">
        <v>19.563511221896153</v>
      </c>
      <c r="S192" s="140">
        <v>20.344038259942579</v>
      </c>
      <c r="T192" s="140">
        <v>21.069453011801805</v>
      </c>
      <c r="U192" s="140">
        <v>21.730951676918469</v>
      </c>
      <c r="V192" s="140">
        <v>22.33950681598769</v>
      </c>
      <c r="W192" s="140">
        <v>22.928774528653623</v>
      </c>
      <c r="X192" s="140">
        <v>23.221390148377417</v>
      </c>
      <c r="Y192" s="140">
        <v>23.51575598540326</v>
      </c>
      <c r="Z192" s="140">
        <v>23.74226183843594</v>
      </c>
      <c r="AA192" s="139"/>
      <c r="AB192" s="139">
        <f>Z192</f>
        <v>23.74226183843594</v>
      </c>
    </row>
    <row r="193" spans="1:28" x14ac:dyDescent="0.2">
      <c r="A193" s="127" t="str">
        <f>'Scenario List'!$A$6</f>
        <v>4- No Resource Additions</v>
      </c>
      <c r="B193" s="128" t="s">
        <v>4</v>
      </c>
      <c r="C193" s="140"/>
      <c r="D193" s="140">
        <v>3.377191012899873</v>
      </c>
      <c r="E193" s="140">
        <v>7.346450330903572</v>
      </c>
      <c r="F193" s="140">
        <v>11.872101148388239</v>
      </c>
      <c r="G193" s="140">
        <v>16.736305013517125</v>
      </c>
      <c r="H193" s="140">
        <v>22.028725311093918</v>
      </c>
      <c r="I193" s="140">
        <v>27.758519590035679</v>
      </c>
      <c r="J193" s="140">
        <v>33.711147214504692</v>
      </c>
      <c r="K193" s="140">
        <v>39.492225984344458</v>
      </c>
      <c r="L193" s="140">
        <v>45.309413616501359</v>
      </c>
      <c r="M193" s="140">
        <v>50.904555675277564</v>
      </c>
      <c r="N193" s="140">
        <v>55.838234383075886</v>
      </c>
      <c r="O193" s="140">
        <v>60.298853962445421</v>
      </c>
      <c r="P193" s="140">
        <v>64.307860430945141</v>
      </c>
      <c r="Q193" s="140">
        <v>67.947796042099498</v>
      </c>
      <c r="R193" s="140">
        <v>71.209423303821225</v>
      </c>
      <c r="S193" s="140">
        <v>73.84054356799615</v>
      </c>
      <c r="T193" s="140">
        <v>76.255540791152015</v>
      </c>
      <c r="U193" s="140">
        <v>78.442636619405278</v>
      </c>
      <c r="V193" s="140">
        <v>80.462774751926958</v>
      </c>
      <c r="W193" s="140">
        <v>82.408331074448427</v>
      </c>
      <c r="X193" s="140">
        <v>83.469323139340318</v>
      </c>
      <c r="Y193" s="140">
        <v>84.538736223884456</v>
      </c>
      <c r="Z193" s="140">
        <v>85.318182259156814</v>
      </c>
      <c r="AA193" s="139"/>
      <c r="AB193" s="139">
        <f>Z193</f>
        <v>85.318182259156814</v>
      </c>
    </row>
    <row r="194" spans="1:28" x14ac:dyDescent="0.2"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39"/>
      <c r="AB194" s="139"/>
    </row>
    <row r="195" spans="1:28" x14ac:dyDescent="0.2"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39"/>
      <c r="AB195" s="139"/>
    </row>
    <row r="196" spans="1:28" x14ac:dyDescent="0.2">
      <c r="A196" s="127" t="str">
        <f>'Scenario List'!$A$7</f>
        <v>5- No CETA/ No new NG</v>
      </c>
      <c r="B196" s="131" t="s">
        <v>11</v>
      </c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39"/>
      <c r="AB196" s="139"/>
    </row>
    <row r="197" spans="1:28" x14ac:dyDescent="0.2">
      <c r="A197" s="127" t="str">
        <f>'Scenario List'!$A$7</f>
        <v>5- No CETA/ No new NG</v>
      </c>
      <c r="B197" s="128" t="s">
        <v>12</v>
      </c>
      <c r="C197" s="140"/>
      <c r="D197" s="140">
        <v>0</v>
      </c>
      <c r="E197" s="140">
        <v>0</v>
      </c>
      <c r="F197" s="140">
        <v>0</v>
      </c>
      <c r="G197" s="140">
        <v>0</v>
      </c>
      <c r="H197" s="140">
        <v>0</v>
      </c>
      <c r="I197" s="140">
        <v>0</v>
      </c>
      <c r="J197" s="140">
        <v>0</v>
      </c>
      <c r="K197" s="140">
        <v>0</v>
      </c>
      <c r="L197" s="140">
        <v>0</v>
      </c>
      <c r="M197" s="140">
        <v>0</v>
      </c>
      <c r="N197" s="140">
        <v>0</v>
      </c>
      <c r="O197" s="140">
        <v>0</v>
      </c>
      <c r="P197" s="140">
        <v>0</v>
      </c>
      <c r="Q197" s="140">
        <v>0</v>
      </c>
      <c r="R197" s="140">
        <v>0</v>
      </c>
      <c r="S197" s="140">
        <v>0</v>
      </c>
      <c r="T197" s="140">
        <v>0</v>
      </c>
      <c r="U197" s="140">
        <v>0</v>
      </c>
      <c r="V197" s="140">
        <v>0</v>
      </c>
      <c r="W197" s="140">
        <v>0</v>
      </c>
      <c r="X197" s="140">
        <v>0</v>
      </c>
      <c r="Y197" s="140">
        <v>0</v>
      </c>
      <c r="Z197" s="140">
        <v>0</v>
      </c>
      <c r="AA197" s="139"/>
      <c r="AB197" s="139">
        <f>SUM(C197:Z197)</f>
        <v>0</v>
      </c>
    </row>
    <row r="198" spans="1:28" x14ac:dyDescent="0.2">
      <c r="A198" s="127" t="str">
        <f>'Scenario List'!$A$7</f>
        <v>5- No CETA/ No new NG</v>
      </c>
      <c r="B198" s="128" t="s">
        <v>13</v>
      </c>
      <c r="C198" s="140"/>
      <c r="D198" s="140">
        <v>0</v>
      </c>
      <c r="E198" s="140">
        <v>0</v>
      </c>
      <c r="F198" s="140">
        <v>0</v>
      </c>
      <c r="G198" s="140">
        <v>0</v>
      </c>
      <c r="H198" s="140">
        <v>0</v>
      </c>
      <c r="I198" s="140">
        <v>0</v>
      </c>
      <c r="J198" s="140">
        <v>0</v>
      </c>
      <c r="K198" s="140">
        <v>0</v>
      </c>
      <c r="L198" s="140">
        <v>0</v>
      </c>
      <c r="M198" s="140">
        <v>0</v>
      </c>
      <c r="N198" s="140">
        <v>0</v>
      </c>
      <c r="O198" s="140">
        <v>0</v>
      </c>
      <c r="P198" s="140">
        <v>0</v>
      </c>
      <c r="Q198" s="140">
        <v>0</v>
      </c>
      <c r="R198" s="140">
        <v>0</v>
      </c>
      <c r="S198" s="140">
        <v>0</v>
      </c>
      <c r="T198" s="140">
        <v>0</v>
      </c>
      <c r="U198" s="140">
        <v>0</v>
      </c>
      <c r="V198" s="140">
        <v>0</v>
      </c>
      <c r="W198" s="140">
        <v>0</v>
      </c>
      <c r="X198" s="140">
        <v>0</v>
      </c>
      <c r="Y198" s="140">
        <v>0</v>
      </c>
      <c r="Z198" s="140">
        <v>0</v>
      </c>
      <c r="AA198" s="139"/>
      <c r="AB198" s="139">
        <f t="shared" ref="AB198:AB205" si="12">SUM(C198:Z198)</f>
        <v>0</v>
      </c>
    </row>
    <row r="199" spans="1:28" x14ac:dyDescent="0.2">
      <c r="A199" s="127" t="str">
        <f>'Scenario List'!$A$7</f>
        <v>5- No CETA/ No new NG</v>
      </c>
      <c r="B199" s="128" t="s">
        <v>14</v>
      </c>
      <c r="C199" s="140"/>
      <c r="D199" s="140">
        <v>0</v>
      </c>
      <c r="E199" s="140">
        <v>0</v>
      </c>
      <c r="F199" s="140">
        <v>0</v>
      </c>
      <c r="G199" s="140">
        <v>0</v>
      </c>
      <c r="H199" s="140">
        <v>0</v>
      </c>
      <c r="I199" s="140">
        <v>0</v>
      </c>
      <c r="J199" s="140">
        <v>0</v>
      </c>
      <c r="K199" s="140">
        <v>0</v>
      </c>
      <c r="L199" s="140">
        <v>0</v>
      </c>
      <c r="M199" s="140">
        <v>0</v>
      </c>
      <c r="N199" s="140">
        <v>0</v>
      </c>
      <c r="O199" s="140">
        <v>0</v>
      </c>
      <c r="P199" s="140">
        <v>0</v>
      </c>
      <c r="Q199" s="140">
        <v>0</v>
      </c>
      <c r="R199" s="140">
        <v>0</v>
      </c>
      <c r="S199" s="140">
        <v>0</v>
      </c>
      <c r="T199" s="140">
        <v>0</v>
      </c>
      <c r="U199" s="140">
        <v>0</v>
      </c>
      <c r="V199" s="140">
        <v>0</v>
      </c>
      <c r="W199" s="140">
        <v>0</v>
      </c>
      <c r="X199" s="140">
        <v>0</v>
      </c>
      <c r="Y199" s="140">
        <v>0</v>
      </c>
      <c r="Z199" s="140">
        <v>0</v>
      </c>
      <c r="AA199" s="139"/>
      <c r="AB199" s="139">
        <f t="shared" si="12"/>
        <v>0</v>
      </c>
    </row>
    <row r="200" spans="1:28" x14ac:dyDescent="0.2">
      <c r="A200" s="127" t="str">
        <f>'Scenario List'!$A$7</f>
        <v>5- No CETA/ No new NG</v>
      </c>
      <c r="B200" s="128" t="s">
        <v>15</v>
      </c>
      <c r="C200" s="140"/>
      <c r="D200" s="140">
        <v>0</v>
      </c>
      <c r="E200" s="140">
        <v>0</v>
      </c>
      <c r="F200" s="140">
        <v>0</v>
      </c>
      <c r="G200" s="140">
        <v>0</v>
      </c>
      <c r="H200" s="140">
        <v>0</v>
      </c>
      <c r="I200" s="140">
        <v>0</v>
      </c>
      <c r="J200" s="140">
        <v>0</v>
      </c>
      <c r="K200" s="140">
        <v>0</v>
      </c>
      <c r="L200" s="140">
        <v>0</v>
      </c>
      <c r="M200" s="140">
        <v>0</v>
      </c>
      <c r="N200" s="140">
        <v>0</v>
      </c>
      <c r="O200" s="140">
        <v>0</v>
      </c>
      <c r="P200" s="140">
        <v>0</v>
      </c>
      <c r="Q200" s="140">
        <v>0</v>
      </c>
      <c r="R200" s="140">
        <v>0</v>
      </c>
      <c r="S200" s="140">
        <v>0</v>
      </c>
      <c r="T200" s="140">
        <v>0</v>
      </c>
      <c r="U200" s="140">
        <v>0</v>
      </c>
      <c r="V200" s="140">
        <v>0</v>
      </c>
      <c r="W200" s="140">
        <v>0</v>
      </c>
      <c r="X200" s="140">
        <v>0</v>
      </c>
      <c r="Y200" s="140">
        <v>0</v>
      </c>
      <c r="Z200" s="140">
        <v>0</v>
      </c>
      <c r="AA200" s="139"/>
      <c r="AB200" s="139">
        <f t="shared" si="12"/>
        <v>0</v>
      </c>
    </row>
    <row r="201" spans="1:28" x14ac:dyDescent="0.2">
      <c r="A201" s="127" t="str">
        <f>'Scenario List'!$A$7</f>
        <v>5- No CETA/ No new NG</v>
      </c>
      <c r="B201" s="128" t="s">
        <v>16</v>
      </c>
      <c r="C201" s="140"/>
      <c r="D201" s="140">
        <v>0</v>
      </c>
      <c r="E201" s="140">
        <v>0</v>
      </c>
      <c r="F201" s="140">
        <v>0</v>
      </c>
      <c r="G201" s="140">
        <v>0</v>
      </c>
      <c r="H201" s="140">
        <v>0</v>
      </c>
      <c r="I201" s="140">
        <v>0</v>
      </c>
      <c r="J201" s="140">
        <v>0</v>
      </c>
      <c r="K201" s="140">
        <v>0</v>
      </c>
      <c r="L201" s="140">
        <v>0</v>
      </c>
      <c r="M201" s="140">
        <v>0</v>
      </c>
      <c r="N201" s="140">
        <v>0</v>
      </c>
      <c r="O201" s="140">
        <v>0</v>
      </c>
      <c r="P201" s="140">
        <v>0</v>
      </c>
      <c r="Q201" s="140">
        <v>0</v>
      </c>
      <c r="R201" s="140">
        <v>0</v>
      </c>
      <c r="S201" s="140">
        <v>53</v>
      </c>
      <c r="T201" s="140">
        <v>0</v>
      </c>
      <c r="U201" s="140">
        <v>50</v>
      </c>
      <c r="V201" s="140">
        <v>108</v>
      </c>
      <c r="W201" s="140">
        <v>0</v>
      </c>
      <c r="X201" s="140">
        <v>53</v>
      </c>
      <c r="Y201" s="140">
        <v>59</v>
      </c>
      <c r="Z201" s="140">
        <v>0</v>
      </c>
      <c r="AA201" s="139"/>
      <c r="AB201" s="139">
        <f t="shared" si="12"/>
        <v>323</v>
      </c>
    </row>
    <row r="202" spans="1:28" x14ac:dyDescent="0.2">
      <c r="A202" s="127" t="str">
        <f>'Scenario List'!$A$7</f>
        <v>5- No CETA/ No new NG</v>
      </c>
      <c r="B202" s="128" t="s">
        <v>85</v>
      </c>
      <c r="C202" s="140"/>
      <c r="D202" s="140">
        <v>0</v>
      </c>
      <c r="E202" s="140">
        <v>0</v>
      </c>
      <c r="F202" s="140">
        <v>0</v>
      </c>
      <c r="G202" s="140">
        <v>0</v>
      </c>
      <c r="H202" s="140">
        <v>0</v>
      </c>
      <c r="I202" s="140">
        <v>0</v>
      </c>
      <c r="J202" s="140">
        <v>0</v>
      </c>
      <c r="K202" s="140">
        <v>0</v>
      </c>
      <c r="L202" s="140">
        <v>0</v>
      </c>
      <c r="M202" s="140">
        <v>0</v>
      </c>
      <c r="N202" s="140">
        <v>0</v>
      </c>
      <c r="O202" s="140">
        <v>0</v>
      </c>
      <c r="P202" s="140">
        <v>0</v>
      </c>
      <c r="Q202" s="140">
        <v>0</v>
      </c>
      <c r="R202" s="140">
        <v>0</v>
      </c>
      <c r="S202" s="140">
        <v>0</v>
      </c>
      <c r="T202" s="140">
        <v>0</v>
      </c>
      <c r="U202" s="140">
        <v>0</v>
      </c>
      <c r="V202" s="140">
        <v>0</v>
      </c>
      <c r="W202" s="140">
        <v>0</v>
      </c>
      <c r="X202" s="140">
        <v>0</v>
      </c>
      <c r="Y202" s="140">
        <v>0</v>
      </c>
      <c r="Z202" s="140">
        <v>0</v>
      </c>
      <c r="AA202" s="139"/>
      <c r="AB202" s="139">
        <f t="shared" si="12"/>
        <v>0</v>
      </c>
    </row>
    <row r="203" spans="1:28" x14ac:dyDescent="0.2">
      <c r="A203" s="127" t="str">
        <f>'Scenario List'!$A$7</f>
        <v>5- No CETA/ No new NG</v>
      </c>
      <c r="B203" s="128" t="s">
        <v>86</v>
      </c>
      <c r="C203" s="140"/>
      <c r="D203" s="140">
        <v>0</v>
      </c>
      <c r="E203" s="140">
        <v>0</v>
      </c>
      <c r="F203" s="140">
        <v>0</v>
      </c>
      <c r="G203" s="140">
        <v>0</v>
      </c>
      <c r="H203" s="140">
        <v>0</v>
      </c>
      <c r="I203" s="140">
        <v>0</v>
      </c>
      <c r="J203" s="140">
        <v>0</v>
      </c>
      <c r="K203" s="140">
        <v>0</v>
      </c>
      <c r="L203" s="140">
        <v>0</v>
      </c>
      <c r="M203" s="140">
        <v>0</v>
      </c>
      <c r="N203" s="140">
        <v>0</v>
      </c>
      <c r="O203" s="140">
        <v>0</v>
      </c>
      <c r="P203" s="140">
        <v>0</v>
      </c>
      <c r="Q203" s="140">
        <v>0</v>
      </c>
      <c r="R203" s="140">
        <v>0</v>
      </c>
      <c r="S203" s="140">
        <v>0</v>
      </c>
      <c r="T203" s="140">
        <v>0</v>
      </c>
      <c r="U203" s="140">
        <v>0</v>
      </c>
      <c r="V203" s="140">
        <v>0</v>
      </c>
      <c r="W203" s="140">
        <v>0</v>
      </c>
      <c r="X203" s="140">
        <v>0</v>
      </c>
      <c r="Y203" s="140">
        <v>0</v>
      </c>
      <c r="Z203" s="140">
        <v>0</v>
      </c>
      <c r="AA203" s="139"/>
      <c r="AB203" s="139">
        <f t="shared" si="12"/>
        <v>0</v>
      </c>
    </row>
    <row r="204" spans="1:28" x14ac:dyDescent="0.2">
      <c r="A204" s="127" t="str">
        <f>'Scenario List'!$A$7</f>
        <v>5- No CETA/ No new NG</v>
      </c>
      <c r="B204" s="128" t="s">
        <v>87</v>
      </c>
      <c r="C204" s="140"/>
      <c r="D204" s="140">
        <v>0</v>
      </c>
      <c r="E204" s="140">
        <v>0</v>
      </c>
      <c r="F204" s="140">
        <v>0</v>
      </c>
      <c r="G204" s="140">
        <v>0</v>
      </c>
      <c r="H204" s="140">
        <v>0</v>
      </c>
      <c r="I204" s="140">
        <v>0</v>
      </c>
      <c r="J204" s="140">
        <v>0</v>
      </c>
      <c r="K204" s="140">
        <v>0</v>
      </c>
      <c r="L204" s="140">
        <v>0</v>
      </c>
      <c r="M204" s="140">
        <v>0</v>
      </c>
      <c r="N204" s="140">
        <v>0</v>
      </c>
      <c r="O204" s="140">
        <v>0</v>
      </c>
      <c r="P204" s="140">
        <v>0</v>
      </c>
      <c r="Q204" s="140">
        <v>0</v>
      </c>
      <c r="R204" s="140">
        <v>0</v>
      </c>
      <c r="S204" s="140">
        <v>0</v>
      </c>
      <c r="T204" s="140">
        <v>0</v>
      </c>
      <c r="U204" s="140">
        <v>0</v>
      </c>
      <c r="V204" s="140">
        <v>0</v>
      </c>
      <c r="W204" s="140">
        <v>0</v>
      </c>
      <c r="X204" s="140">
        <v>0</v>
      </c>
      <c r="Y204" s="140">
        <v>0</v>
      </c>
      <c r="Z204" s="140">
        <v>0</v>
      </c>
      <c r="AA204" s="139"/>
      <c r="AB204" s="139">
        <f t="shared" si="12"/>
        <v>0</v>
      </c>
    </row>
    <row r="205" spans="1:28" x14ac:dyDescent="0.2">
      <c r="A205" s="127" t="str">
        <f>'Scenario List'!$A$7</f>
        <v>5- No CETA/ No new NG</v>
      </c>
      <c r="B205" s="128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39"/>
      <c r="AB205" s="139">
        <f t="shared" si="12"/>
        <v>0</v>
      </c>
    </row>
    <row r="206" spans="1:28" x14ac:dyDescent="0.2">
      <c r="A206" s="127" t="str">
        <f>'Scenario List'!$A$7</f>
        <v>5- No CETA/ No new NG</v>
      </c>
      <c r="B206" s="128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39"/>
      <c r="AB206" s="139"/>
    </row>
    <row r="207" spans="1:28" x14ac:dyDescent="0.2">
      <c r="A207" s="127" t="str">
        <f>'Scenario List'!$A$7</f>
        <v>5- No CETA/ No new NG</v>
      </c>
      <c r="B207" s="128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39"/>
      <c r="AB207" s="139"/>
    </row>
    <row r="208" spans="1:28" x14ac:dyDescent="0.2">
      <c r="A208" s="127" t="str">
        <f>'Scenario List'!$A$7</f>
        <v>5- No CETA/ No new NG</v>
      </c>
      <c r="B208" s="131" t="s">
        <v>9</v>
      </c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39"/>
      <c r="AB208" s="139"/>
    </row>
    <row r="209" spans="1:28" x14ac:dyDescent="0.2">
      <c r="A209" s="127" t="str">
        <f>'Scenario List'!$A$7</f>
        <v>5- No CETA/ No new NG</v>
      </c>
      <c r="B209" s="128" t="s">
        <v>12</v>
      </c>
      <c r="C209" s="140"/>
      <c r="D209" s="140">
        <v>0</v>
      </c>
      <c r="E209" s="140">
        <v>0</v>
      </c>
      <c r="F209" s="140">
        <v>0</v>
      </c>
      <c r="G209" s="140">
        <v>0</v>
      </c>
      <c r="H209" s="140">
        <v>0</v>
      </c>
      <c r="I209" s="140">
        <v>0</v>
      </c>
      <c r="J209" s="140">
        <v>0</v>
      </c>
      <c r="K209" s="140">
        <v>0</v>
      </c>
      <c r="L209" s="140">
        <v>0</v>
      </c>
      <c r="M209" s="140">
        <v>0</v>
      </c>
      <c r="N209" s="140">
        <v>0</v>
      </c>
      <c r="O209" s="140">
        <v>0</v>
      </c>
      <c r="P209" s="140">
        <v>0</v>
      </c>
      <c r="Q209" s="140">
        <v>0</v>
      </c>
      <c r="R209" s="140">
        <v>0</v>
      </c>
      <c r="S209" s="140">
        <v>0</v>
      </c>
      <c r="T209" s="140">
        <v>0</v>
      </c>
      <c r="U209" s="140">
        <v>0</v>
      </c>
      <c r="V209" s="140">
        <v>0</v>
      </c>
      <c r="W209" s="140">
        <v>0</v>
      </c>
      <c r="X209" s="140">
        <v>0</v>
      </c>
      <c r="Y209" s="140">
        <v>0</v>
      </c>
      <c r="Z209" s="140">
        <v>0</v>
      </c>
      <c r="AA209" s="139"/>
      <c r="AB209" s="139">
        <f t="shared" ref="AB209:AB219" si="13">SUM(C209:Z209)</f>
        <v>0</v>
      </c>
    </row>
    <row r="210" spans="1:28" x14ac:dyDescent="0.2">
      <c r="A210" s="127" t="str">
        <f>'Scenario List'!$A$7</f>
        <v>5- No CETA/ No new NG</v>
      </c>
      <c r="B210" s="128" t="s">
        <v>13</v>
      </c>
      <c r="C210" s="140"/>
      <c r="D210" s="140">
        <v>0</v>
      </c>
      <c r="E210" s="140">
        <v>0</v>
      </c>
      <c r="F210" s="140">
        <v>0</v>
      </c>
      <c r="G210" s="140">
        <v>0</v>
      </c>
      <c r="H210" s="140">
        <v>0</v>
      </c>
      <c r="I210" s="140">
        <v>0</v>
      </c>
      <c r="J210" s="140">
        <v>0</v>
      </c>
      <c r="K210" s="140">
        <v>0</v>
      </c>
      <c r="L210" s="140">
        <v>0</v>
      </c>
      <c r="M210" s="140">
        <v>0</v>
      </c>
      <c r="N210" s="140">
        <v>0</v>
      </c>
      <c r="O210" s="140">
        <v>0</v>
      </c>
      <c r="P210" s="140">
        <v>0</v>
      </c>
      <c r="Q210" s="140">
        <v>0</v>
      </c>
      <c r="R210" s="140">
        <v>0</v>
      </c>
      <c r="S210" s="140">
        <v>0</v>
      </c>
      <c r="T210" s="140">
        <v>0</v>
      </c>
      <c r="U210" s="140">
        <v>0</v>
      </c>
      <c r="V210" s="140">
        <v>0</v>
      </c>
      <c r="W210" s="140">
        <v>0</v>
      </c>
      <c r="X210" s="140">
        <v>0</v>
      </c>
      <c r="Y210" s="140">
        <v>0</v>
      </c>
      <c r="Z210" s="140">
        <v>0</v>
      </c>
      <c r="AA210" s="139"/>
      <c r="AB210" s="139">
        <f t="shared" si="13"/>
        <v>0</v>
      </c>
    </row>
    <row r="211" spans="1:28" x14ac:dyDescent="0.2">
      <c r="A211" s="127" t="str">
        <f>'Scenario List'!$A$7</f>
        <v>5- No CETA/ No new NG</v>
      </c>
      <c r="B211" s="128" t="s">
        <v>14</v>
      </c>
      <c r="C211" s="140"/>
      <c r="D211" s="140">
        <v>0</v>
      </c>
      <c r="E211" s="140">
        <v>0</v>
      </c>
      <c r="F211" s="140">
        <v>0</v>
      </c>
      <c r="G211" s="140">
        <v>0</v>
      </c>
      <c r="H211" s="140">
        <v>0</v>
      </c>
      <c r="I211" s="140">
        <v>0</v>
      </c>
      <c r="J211" s="140">
        <v>0</v>
      </c>
      <c r="K211" s="140">
        <v>0</v>
      </c>
      <c r="L211" s="140">
        <v>0</v>
      </c>
      <c r="M211" s="140">
        <v>0</v>
      </c>
      <c r="N211" s="140">
        <v>0</v>
      </c>
      <c r="O211" s="140">
        <v>0</v>
      </c>
      <c r="P211" s="140">
        <v>0</v>
      </c>
      <c r="Q211" s="140">
        <v>0</v>
      </c>
      <c r="R211" s="140">
        <v>0</v>
      </c>
      <c r="S211" s="140">
        <v>0</v>
      </c>
      <c r="T211" s="140">
        <v>0</v>
      </c>
      <c r="U211" s="140">
        <v>0</v>
      </c>
      <c r="V211" s="140">
        <v>0</v>
      </c>
      <c r="W211" s="140">
        <v>0</v>
      </c>
      <c r="X211" s="140">
        <v>0</v>
      </c>
      <c r="Y211" s="140">
        <v>0</v>
      </c>
      <c r="Z211" s="140">
        <v>0</v>
      </c>
      <c r="AA211" s="139"/>
      <c r="AB211" s="139">
        <f t="shared" si="13"/>
        <v>0</v>
      </c>
    </row>
    <row r="212" spans="1:28" x14ac:dyDescent="0.2">
      <c r="A212" s="127" t="str">
        <f>'Scenario List'!$A$7</f>
        <v>5- No CETA/ No new NG</v>
      </c>
      <c r="B212" s="128" t="s">
        <v>15</v>
      </c>
      <c r="C212" s="140"/>
      <c r="D212" s="140">
        <v>0</v>
      </c>
      <c r="E212" s="140">
        <v>0</v>
      </c>
      <c r="F212" s="140">
        <v>0</v>
      </c>
      <c r="G212" s="140">
        <v>0</v>
      </c>
      <c r="H212" s="140">
        <v>0</v>
      </c>
      <c r="I212" s="140">
        <v>0</v>
      </c>
      <c r="J212" s="140">
        <v>0</v>
      </c>
      <c r="K212" s="140">
        <v>200</v>
      </c>
      <c r="L212" s="140">
        <v>0</v>
      </c>
      <c r="M212" s="140">
        <v>200</v>
      </c>
      <c r="N212" s="140">
        <v>0</v>
      </c>
      <c r="O212" s="140">
        <v>0</v>
      </c>
      <c r="P212" s="140">
        <v>0</v>
      </c>
      <c r="Q212" s="140">
        <v>0</v>
      </c>
      <c r="R212" s="140">
        <v>0</v>
      </c>
      <c r="S212" s="140">
        <v>0</v>
      </c>
      <c r="T212" s="140">
        <v>0</v>
      </c>
      <c r="U212" s="140">
        <v>0</v>
      </c>
      <c r="V212" s="140">
        <v>0</v>
      </c>
      <c r="W212" s="140">
        <v>0</v>
      </c>
      <c r="X212" s="140">
        <v>0</v>
      </c>
      <c r="Y212" s="140">
        <v>0</v>
      </c>
      <c r="Z212" s="140">
        <v>0</v>
      </c>
      <c r="AA212" s="139"/>
      <c r="AB212" s="139">
        <f t="shared" si="13"/>
        <v>400</v>
      </c>
    </row>
    <row r="213" spans="1:28" x14ac:dyDescent="0.2">
      <c r="A213" s="127" t="str">
        <f>'Scenario List'!$A$7</f>
        <v>5- No CETA/ No new NG</v>
      </c>
      <c r="B213" s="128" t="s">
        <v>16</v>
      </c>
      <c r="C213" s="140"/>
      <c r="D213" s="140">
        <v>0</v>
      </c>
      <c r="E213" s="140">
        <v>0</v>
      </c>
      <c r="F213" s="140">
        <v>0</v>
      </c>
      <c r="G213" s="140">
        <v>0</v>
      </c>
      <c r="H213" s="140">
        <v>0</v>
      </c>
      <c r="I213" s="140">
        <v>0</v>
      </c>
      <c r="J213" s="140">
        <v>0</v>
      </c>
      <c r="K213" s="140">
        <v>0</v>
      </c>
      <c r="L213" s="140">
        <v>0</v>
      </c>
      <c r="M213" s="140">
        <v>0</v>
      </c>
      <c r="N213" s="140">
        <v>0</v>
      </c>
      <c r="O213" s="140">
        <v>0</v>
      </c>
      <c r="P213" s="140">
        <v>0</v>
      </c>
      <c r="Q213" s="140">
        <v>0</v>
      </c>
      <c r="R213" s="140">
        <v>0</v>
      </c>
      <c r="S213" s="140">
        <v>0</v>
      </c>
      <c r="T213" s="140">
        <v>0</v>
      </c>
      <c r="U213" s="140">
        <v>0</v>
      </c>
      <c r="V213" s="140">
        <v>0</v>
      </c>
      <c r="W213" s="140">
        <v>226</v>
      </c>
      <c r="X213" s="140">
        <v>0</v>
      </c>
      <c r="Y213" s="140">
        <v>0</v>
      </c>
      <c r="Z213" s="140">
        <v>361</v>
      </c>
      <c r="AA213" s="139"/>
      <c r="AB213" s="139">
        <f t="shared" si="13"/>
        <v>587</v>
      </c>
    </row>
    <row r="214" spans="1:28" x14ac:dyDescent="0.2">
      <c r="A214" s="127" t="str">
        <f>'Scenario List'!$A$7</f>
        <v>5- No CETA/ No new NG</v>
      </c>
      <c r="B214" s="128" t="s">
        <v>85</v>
      </c>
      <c r="C214" s="140"/>
      <c r="D214" s="140">
        <v>0</v>
      </c>
      <c r="E214" s="140">
        <v>0</v>
      </c>
      <c r="F214" s="140">
        <v>0</v>
      </c>
      <c r="G214" s="140">
        <v>0</v>
      </c>
      <c r="H214" s="140">
        <v>0</v>
      </c>
      <c r="I214" s="140">
        <v>0</v>
      </c>
      <c r="J214" s="140">
        <v>0</v>
      </c>
      <c r="K214" s="140">
        <v>0</v>
      </c>
      <c r="L214" s="140">
        <v>0</v>
      </c>
      <c r="M214" s="140">
        <v>0</v>
      </c>
      <c r="N214" s="140">
        <v>0</v>
      </c>
      <c r="O214" s="140">
        <v>0</v>
      </c>
      <c r="P214" s="140">
        <v>0</v>
      </c>
      <c r="Q214" s="140">
        <v>79</v>
      </c>
      <c r="R214" s="140">
        <v>0</v>
      </c>
      <c r="S214" s="140">
        <v>0</v>
      </c>
      <c r="T214" s="140">
        <v>0</v>
      </c>
      <c r="U214" s="140">
        <v>0</v>
      </c>
      <c r="V214" s="140">
        <v>0</v>
      </c>
      <c r="W214" s="140">
        <v>0</v>
      </c>
      <c r="X214" s="140">
        <v>0</v>
      </c>
      <c r="Y214" s="140">
        <v>0</v>
      </c>
      <c r="Z214" s="140">
        <v>0</v>
      </c>
      <c r="AA214" s="139"/>
      <c r="AB214" s="139">
        <f t="shared" si="13"/>
        <v>79</v>
      </c>
    </row>
    <row r="215" spans="1:28" x14ac:dyDescent="0.2">
      <c r="A215" s="127" t="str">
        <f>'Scenario List'!$A$7</f>
        <v>5- No CETA/ No new NG</v>
      </c>
      <c r="B215" s="128" t="s">
        <v>86</v>
      </c>
      <c r="C215" s="140"/>
      <c r="D215" s="140">
        <v>0</v>
      </c>
      <c r="E215" s="140">
        <v>0</v>
      </c>
      <c r="F215" s="140">
        <v>0</v>
      </c>
      <c r="G215" s="140">
        <v>0</v>
      </c>
      <c r="H215" s="140">
        <v>0</v>
      </c>
      <c r="I215" s="140">
        <v>0</v>
      </c>
      <c r="J215" s="140">
        <v>0</v>
      </c>
      <c r="K215" s="140">
        <v>0</v>
      </c>
      <c r="L215" s="140">
        <v>0</v>
      </c>
      <c r="M215" s="140">
        <v>0</v>
      </c>
      <c r="N215" s="140">
        <v>0</v>
      </c>
      <c r="O215" s="140">
        <v>0</v>
      </c>
      <c r="P215" s="140">
        <v>0</v>
      </c>
      <c r="Q215" s="140">
        <v>0</v>
      </c>
      <c r="R215" s="140">
        <v>0</v>
      </c>
      <c r="S215" s="140">
        <v>0</v>
      </c>
      <c r="T215" s="140">
        <v>0</v>
      </c>
      <c r="U215" s="140">
        <v>0</v>
      </c>
      <c r="V215" s="140">
        <v>0</v>
      </c>
      <c r="W215" s="140">
        <v>0</v>
      </c>
      <c r="X215" s="140">
        <v>0</v>
      </c>
      <c r="Y215" s="140">
        <v>0</v>
      </c>
      <c r="Z215" s="140">
        <v>0</v>
      </c>
      <c r="AA215" s="139"/>
      <c r="AB215" s="139">
        <f t="shared" si="13"/>
        <v>0</v>
      </c>
    </row>
    <row r="216" spans="1:28" x14ac:dyDescent="0.2">
      <c r="A216" s="127" t="str">
        <f>'Scenario List'!$A$7</f>
        <v>5- No CETA/ No new NG</v>
      </c>
      <c r="B216" s="128" t="s">
        <v>87</v>
      </c>
      <c r="C216" s="140"/>
      <c r="D216" s="140">
        <v>0</v>
      </c>
      <c r="E216" s="140">
        <v>0</v>
      </c>
      <c r="F216" s="140">
        <v>0</v>
      </c>
      <c r="G216" s="140">
        <v>0</v>
      </c>
      <c r="H216" s="140">
        <v>0</v>
      </c>
      <c r="I216" s="140">
        <v>0</v>
      </c>
      <c r="J216" s="140">
        <v>0</v>
      </c>
      <c r="K216" s="140">
        <v>0</v>
      </c>
      <c r="L216" s="140">
        <v>0</v>
      </c>
      <c r="M216" s="140">
        <v>0</v>
      </c>
      <c r="N216" s="140">
        <v>0</v>
      </c>
      <c r="O216" s="140">
        <v>0</v>
      </c>
      <c r="P216" s="140">
        <v>0</v>
      </c>
      <c r="Q216" s="140">
        <v>0</v>
      </c>
      <c r="R216" s="140">
        <v>0</v>
      </c>
      <c r="S216" s="140">
        <v>0</v>
      </c>
      <c r="T216" s="140">
        <v>0</v>
      </c>
      <c r="U216" s="140">
        <v>0</v>
      </c>
      <c r="V216" s="140">
        <v>0</v>
      </c>
      <c r="W216" s="140">
        <v>0</v>
      </c>
      <c r="X216" s="140">
        <v>0</v>
      </c>
      <c r="Y216" s="140">
        <v>0</v>
      </c>
      <c r="Z216" s="140">
        <v>0</v>
      </c>
      <c r="AA216" s="139"/>
      <c r="AB216" s="139">
        <f t="shared" si="13"/>
        <v>0</v>
      </c>
    </row>
    <row r="217" spans="1:28" x14ac:dyDescent="0.2">
      <c r="A217" s="127" t="str">
        <f>'Scenario List'!$A$7</f>
        <v>5- No CETA/ No new NG</v>
      </c>
      <c r="B217" s="128" t="s">
        <v>17</v>
      </c>
      <c r="C217" s="140"/>
      <c r="D217" s="140">
        <v>0</v>
      </c>
      <c r="E217" s="140">
        <v>0</v>
      </c>
      <c r="F217" s="140">
        <v>7</v>
      </c>
      <c r="G217" s="140">
        <v>0</v>
      </c>
      <c r="H217" s="140">
        <v>0</v>
      </c>
      <c r="I217" s="140">
        <v>0</v>
      </c>
      <c r="J217" s="140">
        <v>0</v>
      </c>
      <c r="K217" s="140">
        <v>0</v>
      </c>
      <c r="L217" s="140">
        <v>0</v>
      </c>
      <c r="M217" s="140">
        <v>0</v>
      </c>
      <c r="N217" s="140">
        <v>0</v>
      </c>
      <c r="O217" s="140">
        <v>0</v>
      </c>
      <c r="P217" s="140">
        <v>0</v>
      </c>
      <c r="Q217" s="140">
        <v>0</v>
      </c>
      <c r="R217" s="140">
        <v>0</v>
      </c>
      <c r="S217" s="140">
        <v>0</v>
      </c>
      <c r="T217" s="140">
        <v>0</v>
      </c>
      <c r="U217" s="140">
        <v>0</v>
      </c>
      <c r="V217" s="140">
        <v>0</v>
      </c>
      <c r="W217" s="140">
        <v>0</v>
      </c>
      <c r="X217" s="140">
        <v>0</v>
      </c>
      <c r="Y217" s="140">
        <v>0</v>
      </c>
      <c r="Z217" s="140">
        <v>0</v>
      </c>
      <c r="AA217" s="139"/>
      <c r="AB217" s="139">
        <f t="shared" si="13"/>
        <v>7</v>
      </c>
    </row>
    <row r="218" spans="1:28" x14ac:dyDescent="0.2">
      <c r="A218" s="127" t="str">
        <f>'Scenario List'!$A$7</f>
        <v>5- No CETA/ No new NG</v>
      </c>
      <c r="B218" s="128" t="s">
        <v>18</v>
      </c>
      <c r="C218" s="140"/>
      <c r="D218" s="140">
        <v>1</v>
      </c>
      <c r="E218" s="140">
        <v>2</v>
      </c>
      <c r="F218" s="140">
        <v>2</v>
      </c>
      <c r="G218" s="140">
        <v>2</v>
      </c>
      <c r="H218" s="140">
        <v>3</v>
      </c>
      <c r="I218" s="140">
        <v>3</v>
      </c>
      <c r="J218" s="140">
        <v>3</v>
      </c>
      <c r="K218" s="140">
        <v>3</v>
      </c>
      <c r="L218" s="140">
        <v>3</v>
      </c>
      <c r="M218" s="140">
        <v>3</v>
      </c>
      <c r="N218" s="140">
        <v>3</v>
      </c>
      <c r="O218" s="140">
        <v>3</v>
      </c>
      <c r="P218" s="140">
        <v>3</v>
      </c>
      <c r="Q218" s="140">
        <v>3</v>
      </c>
      <c r="R218" s="140">
        <v>3</v>
      </c>
      <c r="S218" s="140">
        <v>3</v>
      </c>
      <c r="T218" s="140">
        <v>2</v>
      </c>
      <c r="U218" s="140">
        <v>2</v>
      </c>
      <c r="V218" s="140">
        <v>2</v>
      </c>
      <c r="W218" s="140">
        <v>2</v>
      </c>
      <c r="X218" s="140">
        <v>1</v>
      </c>
      <c r="Y218" s="140">
        <v>2</v>
      </c>
      <c r="Z218" s="140">
        <v>1</v>
      </c>
      <c r="AA218" s="139"/>
      <c r="AB218" s="139">
        <f t="shared" si="13"/>
        <v>55</v>
      </c>
    </row>
    <row r="219" spans="1:28" x14ac:dyDescent="0.2">
      <c r="A219" s="127" t="str">
        <f>'Scenario List'!$A$7</f>
        <v>5- No CETA/ No new NG</v>
      </c>
      <c r="B219" s="128" t="s">
        <v>19</v>
      </c>
      <c r="C219" s="140"/>
      <c r="D219" s="140">
        <v>1</v>
      </c>
      <c r="E219" s="140">
        <v>2</v>
      </c>
      <c r="F219" s="140">
        <v>2</v>
      </c>
      <c r="G219" s="140">
        <v>2</v>
      </c>
      <c r="H219" s="140">
        <v>3</v>
      </c>
      <c r="I219" s="140">
        <v>3</v>
      </c>
      <c r="J219" s="140">
        <v>3</v>
      </c>
      <c r="K219" s="140">
        <v>3</v>
      </c>
      <c r="L219" s="140">
        <v>3</v>
      </c>
      <c r="M219" s="140">
        <v>4</v>
      </c>
      <c r="N219" s="140">
        <v>4</v>
      </c>
      <c r="O219" s="140">
        <v>4</v>
      </c>
      <c r="P219" s="140">
        <v>3</v>
      </c>
      <c r="Q219" s="140">
        <v>3</v>
      </c>
      <c r="R219" s="140">
        <v>3</v>
      </c>
      <c r="S219" s="140">
        <v>3</v>
      </c>
      <c r="T219" s="140">
        <v>3</v>
      </c>
      <c r="U219" s="140">
        <v>2</v>
      </c>
      <c r="V219" s="140">
        <v>2</v>
      </c>
      <c r="W219" s="140">
        <v>2</v>
      </c>
      <c r="X219" s="140">
        <v>1</v>
      </c>
      <c r="Y219" s="140">
        <v>2</v>
      </c>
      <c r="Z219" s="140">
        <v>1</v>
      </c>
      <c r="AA219" s="139"/>
      <c r="AB219" s="139">
        <f t="shared" si="13"/>
        <v>59</v>
      </c>
    </row>
    <row r="220" spans="1:28" x14ac:dyDescent="0.2">
      <c r="A220" s="127" t="str">
        <f>'Scenario List'!$A$7</f>
        <v>5- No CETA/ No new NG</v>
      </c>
      <c r="B220" s="128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39"/>
      <c r="AB220" s="139"/>
    </row>
    <row r="221" spans="1:28" x14ac:dyDescent="0.2">
      <c r="A221" s="127" t="str">
        <f>'Scenario List'!$A$7</f>
        <v>5- No CETA/ No new NG</v>
      </c>
      <c r="B221" s="132" t="s">
        <v>8</v>
      </c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39"/>
      <c r="AB221" s="139"/>
    </row>
    <row r="222" spans="1:28" x14ac:dyDescent="0.2">
      <c r="A222" s="127" t="str">
        <f>'Scenario List'!$A$7</f>
        <v>5- No CETA/ No new NG</v>
      </c>
      <c r="B222" s="128" t="s">
        <v>12</v>
      </c>
      <c r="C222" s="140"/>
      <c r="D222" s="140">
        <v>0</v>
      </c>
      <c r="E222" s="140">
        <v>0</v>
      </c>
      <c r="F222" s="140">
        <v>0</v>
      </c>
      <c r="G222" s="140">
        <v>0</v>
      </c>
      <c r="H222" s="140">
        <v>0</v>
      </c>
      <c r="I222" s="140">
        <v>0</v>
      </c>
      <c r="J222" s="140">
        <v>0</v>
      </c>
      <c r="K222" s="140">
        <v>0</v>
      </c>
      <c r="L222" s="140">
        <v>0</v>
      </c>
      <c r="M222" s="140">
        <v>0</v>
      </c>
      <c r="N222" s="140">
        <v>0</v>
      </c>
      <c r="O222" s="140">
        <v>0</v>
      </c>
      <c r="P222" s="140">
        <v>0</v>
      </c>
      <c r="Q222" s="140">
        <v>0</v>
      </c>
      <c r="R222" s="140">
        <v>0</v>
      </c>
      <c r="S222" s="140">
        <v>0</v>
      </c>
      <c r="T222" s="140">
        <v>0</v>
      </c>
      <c r="U222" s="140">
        <v>0</v>
      </c>
      <c r="V222" s="140">
        <v>0</v>
      </c>
      <c r="W222" s="140">
        <v>0</v>
      </c>
      <c r="X222" s="140">
        <v>0</v>
      </c>
      <c r="Y222" s="140">
        <v>0</v>
      </c>
      <c r="Z222" s="140">
        <v>0</v>
      </c>
      <c r="AA222" s="139"/>
      <c r="AB222" s="139">
        <f t="shared" ref="AB222:AB232" si="14">SUM(C222:Z222)</f>
        <v>0</v>
      </c>
    </row>
    <row r="223" spans="1:28" x14ac:dyDescent="0.2">
      <c r="A223" s="127" t="str">
        <f>'Scenario List'!$A$7</f>
        <v>5- No CETA/ No new NG</v>
      </c>
      <c r="B223" s="128" t="s">
        <v>13</v>
      </c>
      <c r="C223" s="140"/>
      <c r="D223" s="140">
        <v>0</v>
      </c>
      <c r="E223" s="140">
        <v>0</v>
      </c>
      <c r="F223" s="140">
        <v>0</v>
      </c>
      <c r="G223" s="140">
        <v>0</v>
      </c>
      <c r="H223" s="140">
        <v>0</v>
      </c>
      <c r="I223" s="140">
        <v>0</v>
      </c>
      <c r="J223" s="140">
        <v>0</v>
      </c>
      <c r="K223" s="140">
        <v>0</v>
      </c>
      <c r="L223" s="140">
        <v>0</v>
      </c>
      <c r="M223" s="140">
        <v>0</v>
      </c>
      <c r="N223" s="140">
        <v>0</v>
      </c>
      <c r="O223" s="140">
        <v>0</v>
      </c>
      <c r="P223" s="140">
        <v>0</v>
      </c>
      <c r="Q223" s="140">
        <v>0</v>
      </c>
      <c r="R223" s="140">
        <v>0</v>
      </c>
      <c r="S223" s="140">
        <v>0</v>
      </c>
      <c r="T223" s="140">
        <v>0</v>
      </c>
      <c r="U223" s="140">
        <v>0</v>
      </c>
      <c r="V223" s="140">
        <v>0</v>
      </c>
      <c r="W223" s="140">
        <v>0</v>
      </c>
      <c r="X223" s="140">
        <v>0</v>
      </c>
      <c r="Y223" s="140">
        <v>0</v>
      </c>
      <c r="Z223" s="140">
        <v>0</v>
      </c>
      <c r="AA223" s="139"/>
      <c r="AB223" s="139">
        <f t="shared" si="14"/>
        <v>0</v>
      </c>
    </row>
    <row r="224" spans="1:28" x14ac:dyDescent="0.2">
      <c r="A224" s="127" t="str">
        <f>'Scenario List'!$A$7</f>
        <v>5- No CETA/ No new NG</v>
      </c>
      <c r="B224" s="128" t="s">
        <v>14</v>
      </c>
      <c r="C224" s="140"/>
      <c r="D224" s="140">
        <v>0</v>
      </c>
      <c r="E224" s="140">
        <v>0</v>
      </c>
      <c r="F224" s="140">
        <v>0</v>
      </c>
      <c r="G224" s="140">
        <v>0</v>
      </c>
      <c r="H224" s="140">
        <v>0</v>
      </c>
      <c r="I224" s="140">
        <v>0</v>
      </c>
      <c r="J224" s="140">
        <v>0</v>
      </c>
      <c r="K224" s="140">
        <v>0</v>
      </c>
      <c r="L224" s="140">
        <v>0</v>
      </c>
      <c r="M224" s="140">
        <v>0</v>
      </c>
      <c r="N224" s="140">
        <v>0</v>
      </c>
      <c r="O224" s="140">
        <v>0</v>
      </c>
      <c r="P224" s="140">
        <v>0</v>
      </c>
      <c r="Q224" s="140">
        <v>0</v>
      </c>
      <c r="R224" s="140">
        <v>0</v>
      </c>
      <c r="S224" s="140">
        <v>0</v>
      </c>
      <c r="T224" s="140">
        <v>0</v>
      </c>
      <c r="U224" s="140">
        <v>0</v>
      </c>
      <c r="V224" s="140">
        <v>0</v>
      </c>
      <c r="W224" s="140">
        <v>0</v>
      </c>
      <c r="X224" s="140">
        <v>0</v>
      </c>
      <c r="Y224" s="140">
        <v>0</v>
      </c>
      <c r="Z224" s="140">
        <v>0</v>
      </c>
      <c r="AA224" s="139"/>
      <c r="AB224" s="139">
        <f t="shared" si="14"/>
        <v>0</v>
      </c>
    </row>
    <row r="225" spans="1:28" x14ac:dyDescent="0.2">
      <c r="A225" s="127" t="str">
        <f>'Scenario List'!$A$7</f>
        <v>5- No CETA/ No new NG</v>
      </c>
      <c r="B225" s="128" t="s">
        <v>15</v>
      </c>
      <c r="C225" s="140"/>
      <c r="D225" s="140">
        <v>0</v>
      </c>
      <c r="E225" s="140">
        <v>0</v>
      </c>
      <c r="F225" s="140">
        <v>0</v>
      </c>
      <c r="G225" s="140">
        <v>0</v>
      </c>
      <c r="H225" s="140">
        <v>0</v>
      </c>
      <c r="I225" s="140">
        <v>0</v>
      </c>
      <c r="J225" s="140">
        <v>0</v>
      </c>
      <c r="K225" s="140">
        <v>0</v>
      </c>
      <c r="L225" s="140">
        <v>0</v>
      </c>
      <c r="M225" s="140">
        <v>0</v>
      </c>
      <c r="N225" s="140">
        <v>0</v>
      </c>
      <c r="O225" s="140">
        <v>0</v>
      </c>
      <c r="P225" s="140">
        <v>0</v>
      </c>
      <c r="Q225" s="140">
        <v>0</v>
      </c>
      <c r="R225" s="140">
        <v>0</v>
      </c>
      <c r="S225" s="140">
        <v>0</v>
      </c>
      <c r="T225" s="140">
        <v>0</v>
      </c>
      <c r="U225" s="140">
        <v>0</v>
      </c>
      <c r="V225" s="140">
        <v>0</v>
      </c>
      <c r="W225" s="140">
        <v>0</v>
      </c>
      <c r="X225" s="140">
        <v>0</v>
      </c>
      <c r="Y225" s="140">
        <v>0</v>
      </c>
      <c r="Z225" s="140">
        <v>0</v>
      </c>
      <c r="AA225" s="139"/>
      <c r="AB225" s="139">
        <f t="shared" si="14"/>
        <v>0</v>
      </c>
    </row>
    <row r="226" spans="1:28" x14ac:dyDescent="0.2">
      <c r="A226" s="127" t="str">
        <f>'Scenario List'!$A$7</f>
        <v>5- No CETA/ No new NG</v>
      </c>
      <c r="B226" s="128" t="s">
        <v>16</v>
      </c>
      <c r="C226" s="140"/>
      <c r="D226" s="140">
        <v>0</v>
      </c>
      <c r="E226" s="140">
        <v>0</v>
      </c>
      <c r="F226" s="140">
        <v>0</v>
      </c>
      <c r="G226" s="140">
        <v>0</v>
      </c>
      <c r="H226" s="140">
        <v>0</v>
      </c>
      <c r="I226" s="140">
        <v>0</v>
      </c>
      <c r="J226" s="140">
        <v>0</v>
      </c>
      <c r="K226" s="140">
        <v>0</v>
      </c>
      <c r="L226" s="140">
        <v>0</v>
      </c>
      <c r="M226" s="140">
        <v>54</v>
      </c>
      <c r="N226" s="140">
        <v>0</v>
      </c>
      <c r="O226" s="140">
        <v>0</v>
      </c>
      <c r="P226" s="140">
        <v>0</v>
      </c>
      <c r="Q226" s="140">
        <v>0</v>
      </c>
      <c r="R226" s="140">
        <v>0</v>
      </c>
      <c r="S226" s="140">
        <v>0</v>
      </c>
      <c r="T226" s="140">
        <v>0</v>
      </c>
      <c r="U226" s="140">
        <v>0</v>
      </c>
      <c r="V226" s="140">
        <v>0</v>
      </c>
      <c r="W226" s="140">
        <v>107</v>
      </c>
      <c r="X226" s="140">
        <v>0</v>
      </c>
      <c r="Y226" s="140">
        <v>0</v>
      </c>
      <c r="Z226" s="140">
        <v>74</v>
      </c>
      <c r="AA226" s="139"/>
      <c r="AB226" s="139">
        <f t="shared" si="14"/>
        <v>235</v>
      </c>
    </row>
    <row r="227" spans="1:28" x14ac:dyDescent="0.2">
      <c r="A227" s="127" t="str">
        <f>'Scenario List'!$A$7</f>
        <v>5- No CETA/ No new NG</v>
      </c>
      <c r="B227" s="128" t="s">
        <v>85</v>
      </c>
      <c r="C227" s="140"/>
      <c r="D227" s="140">
        <v>0</v>
      </c>
      <c r="E227" s="140">
        <v>0</v>
      </c>
      <c r="F227" s="140">
        <v>0</v>
      </c>
      <c r="G227" s="140">
        <v>0</v>
      </c>
      <c r="H227" s="140">
        <v>0</v>
      </c>
      <c r="I227" s="140">
        <v>0</v>
      </c>
      <c r="J227" s="140">
        <v>0</v>
      </c>
      <c r="K227" s="140">
        <v>0</v>
      </c>
      <c r="L227" s="140">
        <v>0</v>
      </c>
      <c r="M227" s="140">
        <v>0</v>
      </c>
      <c r="N227" s="140">
        <v>0</v>
      </c>
      <c r="O227" s="140">
        <v>0</v>
      </c>
      <c r="P227" s="140">
        <v>0</v>
      </c>
      <c r="Q227" s="140">
        <v>0</v>
      </c>
      <c r="R227" s="140">
        <v>0</v>
      </c>
      <c r="S227" s="140">
        <v>0</v>
      </c>
      <c r="T227" s="140">
        <v>0</v>
      </c>
      <c r="U227" s="140">
        <v>0</v>
      </c>
      <c r="V227" s="140">
        <v>0</v>
      </c>
      <c r="W227" s="140">
        <v>0</v>
      </c>
      <c r="X227" s="140">
        <v>0</v>
      </c>
      <c r="Y227" s="140">
        <v>0</v>
      </c>
      <c r="Z227" s="140">
        <v>0</v>
      </c>
      <c r="AA227" s="139"/>
      <c r="AB227" s="139">
        <f t="shared" si="14"/>
        <v>0</v>
      </c>
    </row>
    <row r="228" spans="1:28" x14ac:dyDescent="0.2">
      <c r="A228" s="127" t="str">
        <f>'Scenario List'!$A$7</f>
        <v>5- No CETA/ No new NG</v>
      </c>
      <c r="B228" s="128" t="s">
        <v>86</v>
      </c>
      <c r="C228" s="140"/>
      <c r="D228" s="140">
        <v>0</v>
      </c>
      <c r="E228" s="140">
        <v>0</v>
      </c>
      <c r="F228" s="140">
        <v>0</v>
      </c>
      <c r="G228" s="140">
        <v>0</v>
      </c>
      <c r="H228" s="140">
        <v>0</v>
      </c>
      <c r="I228" s="140">
        <v>0</v>
      </c>
      <c r="J228" s="140">
        <v>0</v>
      </c>
      <c r="K228" s="140">
        <v>0</v>
      </c>
      <c r="L228" s="140">
        <v>0</v>
      </c>
      <c r="M228" s="140">
        <v>0</v>
      </c>
      <c r="N228" s="140">
        <v>0</v>
      </c>
      <c r="O228" s="140">
        <v>0</v>
      </c>
      <c r="P228" s="140">
        <v>0</v>
      </c>
      <c r="Q228" s="140">
        <v>0</v>
      </c>
      <c r="R228" s="140">
        <v>0</v>
      </c>
      <c r="S228" s="140">
        <v>0</v>
      </c>
      <c r="T228" s="140">
        <v>0</v>
      </c>
      <c r="U228" s="140">
        <v>0</v>
      </c>
      <c r="V228" s="140">
        <v>0</v>
      </c>
      <c r="W228" s="140">
        <v>0</v>
      </c>
      <c r="X228" s="140">
        <v>0</v>
      </c>
      <c r="Y228" s="140">
        <v>0</v>
      </c>
      <c r="Z228" s="140">
        <v>0</v>
      </c>
      <c r="AA228" s="139"/>
      <c r="AB228" s="139">
        <f t="shared" si="14"/>
        <v>0</v>
      </c>
    </row>
    <row r="229" spans="1:28" x14ac:dyDescent="0.2">
      <c r="A229" s="127" t="str">
        <f>'Scenario List'!$A$7</f>
        <v>5- No CETA/ No new NG</v>
      </c>
      <c r="B229" s="128" t="s">
        <v>87</v>
      </c>
      <c r="C229" s="140"/>
      <c r="D229" s="140">
        <v>0</v>
      </c>
      <c r="E229" s="140">
        <v>0</v>
      </c>
      <c r="F229" s="140">
        <v>0</v>
      </c>
      <c r="G229" s="140">
        <v>0</v>
      </c>
      <c r="H229" s="140">
        <v>0</v>
      </c>
      <c r="I229" s="140">
        <v>0</v>
      </c>
      <c r="J229" s="140">
        <v>0</v>
      </c>
      <c r="K229" s="140">
        <v>0</v>
      </c>
      <c r="L229" s="140">
        <v>0</v>
      </c>
      <c r="M229" s="140">
        <v>0</v>
      </c>
      <c r="N229" s="140">
        <v>0</v>
      </c>
      <c r="O229" s="140">
        <v>0</v>
      </c>
      <c r="P229" s="140">
        <v>0</v>
      </c>
      <c r="Q229" s="140">
        <v>0</v>
      </c>
      <c r="R229" s="140">
        <v>0</v>
      </c>
      <c r="S229" s="140">
        <v>0</v>
      </c>
      <c r="T229" s="140">
        <v>0</v>
      </c>
      <c r="U229" s="140">
        <v>0</v>
      </c>
      <c r="V229" s="140">
        <v>0</v>
      </c>
      <c r="W229" s="140">
        <v>0</v>
      </c>
      <c r="X229" s="140">
        <v>0</v>
      </c>
      <c r="Y229" s="140">
        <v>0</v>
      </c>
      <c r="Z229" s="140">
        <v>0</v>
      </c>
      <c r="AA229" s="139"/>
      <c r="AB229" s="139">
        <f t="shared" si="14"/>
        <v>0</v>
      </c>
    </row>
    <row r="230" spans="1:28" x14ac:dyDescent="0.2">
      <c r="A230" s="127" t="str">
        <f>'Scenario List'!$A$7</f>
        <v>5- No CETA/ No new NG</v>
      </c>
      <c r="B230" s="128" t="s">
        <v>17</v>
      </c>
      <c r="C230" s="140"/>
      <c r="D230" s="140">
        <v>0</v>
      </c>
      <c r="E230" s="140">
        <v>0</v>
      </c>
      <c r="F230" s="140">
        <v>0</v>
      </c>
      <c r="G230" s="140">
        <v>0</v>
      </c>
      <c r="H230" s="140">
        <v>0</v>
      </c>
      <c r="I230" s="140">
        <v>0</v>
      </c>
      <c r="J230" s="140">
        <v>0</v>
      </c>
      <c r="K230" s="140">
        <v>0</v>
      </c>
      <c r="L230" s="140">
        <v>0</v>
      </c>
      <c r="M230" s="140">
        <v>0</v>
      </c>
      <c r="N230" s="140">
        <v>0</v>
      </c>
      <c r="O230" s="140">
        <v>0</v>
      </c>
      <c r="P230" s="140">
        <v>0</v>
      </c>
      <c r="Q230" s="140">
        <v>0</v>
      </c>
      <c r="R230" s="140">
        <v>0</v>
      </c>
      <c r="S230" s="140">
        <v>0</v>
      </c>
      <c r="T230" s="140">
        <v>0</v>
      </c>
      <c r="U230" s="140">
        <v>0</v>
      </c>
      <c r="V230" s="140">
        <v>0</v>
      </c>
      <c r="W230" s="140">
        <v>0</v>
      </c>
      <c r="X230" s="140">
        <v>0</v>
      </c>
      <c r="Y230" s="140">
        <v>0</v>
      </c>
      <c r="Z230" s="140">
        <v>0</v>
      </c>
      <c r="AA230" s="139"/>
      <c r="AB230" s="139">
        <f t="shared" si="14"/>
        <v>0</v>
      </c>
    </row>
    <row r="231" spans="1:28" x14ac:dyDescent="0.2">
      <c r="A231" s="127" t="str">
        <f>'Scenario List'!$A$7</f>
        <v>5- No CETA/ No new NG</v>
      </c>
      <c r="B231" s="128" t="s">
        <v>18</v>
      </c>
      <c r="C231" s="140"/>
      <c r="D231" s="140">
        <v>1</v>
      </c>
      <c r="E231" s="140">
        <v>1</v>
      </c>
      <c r="F231" s="140">
        <v>1</v>
      </c>
      <c r="G231" s="140">
        <v>1</v>
      </c>
      <c r="H231" s="140">
        <v>1</v>
      </c>
      <c r="I231" s="140">
        <v>1</v>
      </c>
      <c r="J231" s="140">
        <v>1</v>
      </c>
      <c r="K231" s="140">
        <v>1</v>
      </c>
      <c r="L231" s="140">
        <v>1</v>
      </c>
      <c r="M231" s="140">
        <v>1</v>
      </c>
      <c r="N231" s="140">
        <v>1</v>
      </c>
      <c r="O231" s="140">
        <v>1</v>
      </c>
      <c r="P231" s="140">
        <v>1</v>
      </c>
      <c r="Q231" s="140">
        <v>1</v>
      </c>
      <c r="R231" s="140">
        <v>1</v>
      </c>
      <c r="S231" s="140">
        <v>1</v>
      </c>
      <c r="T231" s="140">
        <v>1</v>
      </c>
      <c r="U231" s="140">
        <v>1</v>
      </c>
      <c r="V231" s="140">
        <v>1</v>
      </c>
      <c r="W231" s="140">
        <v>1</v>
      </c>
      <c r="X231" s="140">
        <v>1</v>
      </c>
      <c r="Y231" s="140">
        <v>1</v>
      </c>
      <c r="Z231" s="140">
        <v>0</v>
      </c>
      <c r="AA231" s="139"/>
      <c r="AB231" s="139">
        <f>SUM(C231:Z231)</f>
        <v>22</v>
      </c>
    </row>
    <row r="232" spans="1:28" x14ac:dyDescent="0.2">
      <c r="A232" s="127" t="str">
        <f>'Scenario List'!$A$7</f>
        <v>5- No CETA/ No new NG</v>
      </c>
      <c r="B232" s="128" t="s">
        <v>19</v>
      </c>
      <c r="C232" s="140"/>
      <c r="D232" s="140">
        <v>1</v>
      </c>
      <c r="E232" s="140">
        <v>1</v>
      </c>
      <c r="F232" s="140">
        <v>1</v>
      </c>
      <c r="G232" s="140">
        <v>1</v>
      </c>
      <c r="H232" s="140">
        <v>1</v>
      </c>
      <c r="I232" s="140">
        <v>1</v>
      </c>
      <c r="J232" s="140">
        <v>1</v>
      </c>
      <c r="K232" s="140">
        <v>1</v>
      </c>
      <c r="L232" s="140">
        <v>1</v>
      </c>
      <c r="M232" s="140">
        <v>1</v>
      </c>
      <c r="N232" s="140">
        <v>1</v>
      </c>
      <c r="O232" s="140">
        <v>1</v>
      </c>
      <c r="P232" s="140">
        <v>1</v>
      </c>
      <c r="Q232" s="140">
        <v>1</v>
      </c>
      <c r="R232" s="140">
        <v>1</v>
      </c>
      <c r="S232" s="140">
        <v>1</v>
      </c>
      <c r="T232" s="140">
        <v>1</v>
      </c>
      <c r="U232" s="140">
        <v>1</v>
      </c>
      <c r="V232" s="140">
        <v>1</v>
      </c>
      <c r="W232" s="140">
        <v>1</v>
      </c>
      <c r="X232" s="140">
        <v>0</v>
      </c>
      <c r="Y232" s="140">
        <v>1</v>
      </c>
      <c r="Z232" s="140">
        <v>0</v>
      </c>
      <c r="AA232" s="139"/>
      <c r="AB232" s="139">
        <f t="shared" si="14"/>
        <v>21</v>
      </c>
    </row>
    <row r="233" spans="1:28" x14ac:dyDescent="0.2">
      <c r="A233" s="127" t="str">
        <f>'Scenario List'!$A$7</f>
        <v>5- No CETA/ No new NG</v>
      </c>
      <c r="B233" s="128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39"/>
      <c r="AB233" s="139"/>
    </row>
    <row r="234" spans="1:28" x14ac:dyDescent="0.2">
      <c r="A234" s="127" t="str">
        <f>'Scenario List'!$A$7</f>
        <v>5- No CETA/ No new NG</v>
      </c>
      <c r="B234" s="131" t="s">
        <v>31</v>
      </c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39"/>
      <c r="AB234" s="139"/>
    </row>
    <row r="235" spans="1:28" x14ac:dyDescent="0.2">
      <c r="A235" s="127" t="str">
        <f>'Scenario List'!$A$7</f>
        <v>5- No CETA/ No new NG</v>
      </c>
      <c r="B235" s="128" t="s">
        <v>1</v>
      </c>
      <c r="C235" s="140"/>
      <c r="D235" s="140">
        <v>20</v>
      </c>
      <c r="E235" s="140">
        <v>44</v>
      </c>
      <c r="F235" s="140">
        <v>71</v>
      </c>
      <c r="G235" s="140">
        <v>100</v>
      </c>
      <c r="H235" s="140">
        <v>132</v>
      </c>
      <c r="I235" s="140">
        <v>167</v>
      </c>
      <c r="J235" s="140">
        <v>203</v>
      </c>
      <c r="K235" s="140">
        <v>238</v>
      </c>
      <c r="L235" s="140">
        <v>273</v>
      </c>
      <c r="M235" s="140">
        <v>307</v>
      </c>
      <c r="N235" s="140">
        <v>337</v>
      </c>
      <c r="O235" s="140">
        <v>364</v>
      </c>
      <c r="P235" s="140">
        <v>388</v>
      </c>
      <c r="Q235" s="140">
        <v>409</v>
      </c>
      <c r="R235" s="140">
        <v>429</v>
      </c>
      <c r="S235" s="140">
        <v>444</v>
      </c>
      <c r="T235" s="140">
        <v>458</v>
      </c>
      <c r="U235" s="140">
        <v>470</v>
      </c>
      <c r="V235" s="140">
        <v>482</v>
      </c>
      <c r="W235" s="140">
        <v>493</v>
      </c>
      <c r="X235" s="140">
        <v>500</v>
      </c>
      <c r="Y235" s="140">
        <v>506</v>
      </c>
      <c r="Z235" s="140">
        <v>511</v>
      </c>
      <c r="AA235" s="139"/>
      <c r="AB235" s="139">
        <f>Z235/8.76</f>
        <v>58.333333333333336</v>
      </c>
    </row>
    <row r="236" spans="1:28" x14ac:dyDescent="0.2">
      <c r="A236" s="127" t="str">
        <f>'Scenario List'!$A$7</f>
        <v>5- No CETA/ No new NG</v>
      </c>
      <c r="B236" s="128" t="s">
        <v>2</v>
      </c>
      <c r="C236" s="140"/>
      <c r="D236" s="140">
        <v>8</v>
      </c>
      <c r="E236" s="140">
        <v>17</v>
      </c>
      <c r="F236" s="140">
        <v>28</v>
      </c>
      <c r="G236" s="140">
        <v>39</v>
      </c>
      <c r="H236" s="140">
        <v>51</v>
      </c>
      <c r="I236" s="140">
        <v>64</v>
      </c>
      <c r="J236" s="140">
        <v>77</v>
      </c>
      <c r="K236" s="140">
        <v>90</v>
      </c>
      <c r="L236" s="140">
        <v>103</v>
      </c>
      <c r="M236" s="140">
        <v>116</v>
      </c>
      <c r="N236" s="140">
        <v>127</v>
      </c>
      <c r="O236" s="140">
        <v>137</v>
      </c>
      <c r="P236" s="140">
        <v>146</v>
      </c>
      <c r="Q236" s="140">
        <v>154</v>
      </c>
      <c r="R236" s="140">
        <v>162</v>
      </c>
      <c r="S236" s="140">
        <v>169</v>
      </c>
      <c r="T236" s="140">
        <v>175</v>
      </c>
      <c r="U236" s="140">
        <v>180</v>
      </c>
      <c r="V236" s="140">
        <v>185</v>
      </c>
      <c r="W236" s="140">
        <v>190</v>
      </c>
      <c r="X236" s="140">
        <v>193</v>
      </c>
      <c r="Y236" s="140">
        <v>195</v>
      </c>
      <c r="Z236" s="140">
        <v>197</v>
      </c>
      <c r="AA236" s="139"/>
      <c r="AB236" s="139">
        <f>Z236/8.76</f>
        <v>22.488584474885844</v>
      </c>
    </row>
    <row r="237" spans="1:28" x14ac:dyDescent="0.2">
      <c r="A237" s="127" t="str">
        <f>'Scenario List'!$A$7</f>
        <v>5- No CETA/ No new NG</v>
      </c>
      <c r="B237" s="128" t="s">
        <v>4</v>
      </c>
      <c r="C237" s="140"/>
      <c r="D237" s="140">
        <v>28</v>
      </c>
      <c r="E237" s="140">
        <v>61</v>
      </c>
      <c r="F237" s="140">
        <v>99</v>
      </c>
      <c r="G237" s="140">
        <v>139</v>
      </c>
      <c r="H237" s="140">
        <v>183</v>
      </c>
      <c r="I237" s="140">
        <v>230</v>
      </c>
      <c r="J237" s="140">
        <v>280</v>
      </c>
      <c r="K237" s="140">
        <v>328</v>
      </c>
      <c r="L237" s="140">
        <v>376</v>
      </c>
      <c r="M237" s="140">
        <v>423</v>
      </c>
      <c r="N237" s="140">
        <v>464</v>
      </c>
      <c r="O237" s="140">
        <v>501</v>
      </c>
      <c r="P237" s="140">
        <v>534</v>
      </c>
      <c r="Q237" s="140">
        <v>564</v>
      </c>
      <c r="R237" s="140">
        <v>591</v>
      </c>
      <c r="S237" s="140">
        <v>613</v>
      </c>
      <c r="T237" s="140">
        <v>633</v>
      </c>
      <c r="U237" s="140">
        <v>651</v>
      </c>
      <c r="V237" s="140">
        <v>668</v>
      </c>
      <c r="W237" s="140">
        <v>684</v>
      </c>
      <c r="X237" s="140">
        <v>692</v>
      </c>
      <c r="Y237" s="140">
        <v>701</v>
      </c>
      <c r="Z237" s="140">
        <v>707</v>
      </c>
      <c r="AA237" s="139"/>
      <c r="AB237" s="139">
        <f>Z237/8.76</f>
        <v>80.707762557077629</v>
      </c>
    </row>
    <row r="238" spans="1:28" x14ac:dyDescent="0.2">
      <c r="A238" s="127" t="str">
        <f>'Scenario List'!$A$7</f>
        <v>5- No CETA/ No new NG</v>
      </c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39"/>
      <c r="AB238" s="139"/>
    </row>
    <row r="239" spans="1:28" x14ac:dyDescent="0.2">
      <c r="A239" s="127" t="str">
        <f>'Scenario List'!$A$7</f>
        <v>5- No CETA/ No new NG</v>
      </c>
      <c r="B239" s="141" t="s">
        <v>32</v>
      </c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39"/>
      <c r="AB239" s="139"/>
    </row>
    <row r="240" spans="1:28" x14ac:dyDescent="0.2">
      <c r="A240" s="127" t="str">
        <f>'Scenario List'!$A$7</f>
        <v>5- No CETA/ No new NG</v>
      </c>
      <c r="B240" s="128" t="s">
        <v>1</v>
      </c>
      <c r="C240" s="140"/>
      <c r="D240" s="140">
        <v>2</v>
      </c>
      <c r="E240" s="140">
        <v>5</v>
      </c>
      <c r="F240" s="140">
        <v>9</v>
      </c>
      <c r="G240" s="140">
        <v>12</v>
      </c>
      <c r="H240" s="140">
        <v>16</v>
      </c>
      <c r="I240" s="140">
        <v>20</v>
      </c>
      <c r="J240" s="140">
        <v>24</v>
      </c>
      <c r="K240" s="140">
        <v>29</v>
      </c>
      <c r="L240" s="140">
        <v>33</v>
      </c>
      <c r="M240" s="140">
        <v>37</v>
      </c>
      <c r="N240" s="140">
        <v>41</v>
      </c>
      <c r="O240" s="140">
        <v>44</v>
      </c>
      <c r="P240" s="140">
        <v>47</v>
      </c>
      <c r="Q240" s="140">
        <v>49</v>
      </c>
      <c r="R240" s="140">
        <v>52</v>
      </c>
      <c r="S240" s="140">
        <v>53</v>
      </c>
      <c r="T240" s="140">
        <v>55</v>
      </c>
      <c r="U240" s="140">
        <v>57</v>
      </c>
      <c r="V240" s="140">
        <v>58</v>
      </c>
      <c r="W240" s="140">
        <v>59</v>
      </c>
      <c r="X240" s="140">
        <v>60</v>
      </c>
      <c r="Y240" s="140">
        <v>61</v>
      </c>
      <c r="Z240" s="140">
        <v>62</v>
      </c>
      <c r="AA240" s="139"/>
      <c r="AB240" s="139">
        <f>Z240</f>
        <v>62</v>
      </c>
    </row>
    <row r="241" spans="1:28" x14ac:dyDescent="0.2">
      <c r="A241" s="127" t="str">
        <f>'Scenario List'!$A$7</f>
        <v>5- No CETA/ No new NG</v>
      </c>
      <c r="B241" s="128" t="s">
        <v>2</v>
      </c>
      <c r="C241" s="140"/>
      <c r="D241" s="140">
        <v>1</v>
      </c>
      <c r="E241" s="140">
        <v>2</v>
      </c>
      <c r="F241" s="140">
        <v>3</v>
      </c>
      <c r="G241" s="140">
        <v>5</v>
      </c>
      <c r="H241" s="140">
        <v>6</v>
      </c>
      <c r="I241" s="140">
        <v>8</v>
      </c>
      <c r="J241" s="140">
        <v>9</v>
      </c>
      <c r="K241" s="140">
        <v>11</v>
      </c>
      <c r="L241" s="140">
        <v>12</v>
      </c>
      <c r="M241" s="140">
        <v>14</v>
      </c>
      <c r="N241" s="140">
        <v>15</v>
      </c>
      <c r="O241" s="140">
        <v>16</v>
      </c>
      <c r="P241" s="140">
        <v>18</v>
      </c>
      <c r="Q241" s="140">
        <v>19</v>
      </c>
      <c r="R241" s="140">
        <v>20</v>
      </c>
      <c r="S241" s="140">
        <v>20</v>
      </c>
      <c r="T241" s="140">
        <v>21</v>
      </c>
      <c r="U241" s="140">
        <v>22</v>
      </c>
      <c r="V241" s="140">
        <v>22</v>
      </c>
      <c r="W241" s="140">
        <v>23</v>
      </c>
      <c r="X241" s="140">
        <v>23</v>
      </c>
      <c r="Y241" s="140">
        <v>24</v>
      </c>
      <c r="Z241" s="140">
        <v>24</v>
      </c>
      <c r="AA241" s="139"/>
      <c r="AB241" s="139">
        <f>Z241</f>
        <v>24</v>
      </c>
    </row>
    <row r="242" spans="1:28" x14ac:dyDescent="0.2">
      <c r="A242" s="127" t="str">
        <f>'Scenario List'!$A$7</f>
        <v>5- No CETA/ No new NG</v>
      </c>
      <c r="B242" s="128" t="s">
        <v>4</v>
      </c>
      <c r="C242" s="140"/>
      <c r="D242" s="140">
        <v>3</v>
      </c>
      <c r="E242" s="140">
        <v>7</v>
      </c>
      <c r="F242" s="140">
        <v>12</v>
      </c>
      <c r="G242" s="140">
        <v>17</v>
      </c>
      <c r="H242" s="140">
        <v>22</v>
      </c>
      <c r="I242" s="140">
        <v>28</v>
      </c>
      <c r="J242" s="140">
        <v>34</v>
      </c>
      <c r="K242" s="140">
        <v>39</v>
      </c>
      <c r="L242" s="140">
        <v>45</v>
      </c>
      <c r="M242" s="140">
        <v>51</v>
      </c>
      <c r="N242" s="140">
        <v>56</v>
      </c>
      <c r="O242" s="140">
        <v>60</v>
      </c>
      <c r="P242" s="140">
        <v>64</v>
      </c>
      <c r="Q242" s="140">
        <v>68</v>
      </c>
      <c r="R242" s="140">
        <v>71</v>
      </c>
      <c r="S242" s="140">
        <v>74</v>
      </c>
      <c r="T242" s="140">
        <v>76</v>
      </c>
      <c r="U242" s="140">
        <v>78</v>
      </c>
      <c r="V242" s="140">
        <v>80</v>
      </c>
      <c r="W242" s="140">
        <v>82</v>
      </c>
      <c r="X242" s="140">
        <v>83</v>
      </c>
      <c r="Y242" s="140">
        <v>85</v>
      </c>
      <c r="Z242" s="140">
        <v>85</v>
      </c>
      <c r="AA242" s="139"/>
      <c r="AB242" s="139">
        <f>Z242</f>
        <v>85</v>
      </c>
    </row>
    <row r="243" spans="1:28" x14ac:dyDescent="0.2"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39"/>
      <c r="AB243" s="139"/>
    </row>
    <row r="244" spans="1:28" x14ac:dyDescent="0.2"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39"/>
      <c r="AB244" s="139"/>
    </row>
    <row r="245" spans="1:28" x14ac:dyDescent="0.2">
      <c r="A245" s="127" t="str">
        <f>'Scenario List'!$A$8</f>
        <v>6- WRAP PRM</v>
      </c>
      <c r="B245" s="131" t="s">
        <v>11</v>
      </c>
    </row>
    <row r="246" spans="1:28" x14ac:dyDescent="0.2">
      <c r="A246" s="127" t="str">
        <f>'Scenario List'!$A$8</f>
        <v>6- WRAP PRM</v>
      </c>
      <c r="B246" s="128" t="s">
        <v>12</v>
      </c>
      <c r="D246" s="140">
        <v>0</v>
      </c>
      <c r="E246" s="140">
        <v>0</v>
      </c>
      <c r="F246" s="140">
        <v>0</v>
      </c>
      <c r="G246" s="140">
        <v>0</v>
      </c>
      <c r="H246" s="140">
        <v>0</v>
      </c>
      <c r="I246" s="140">
        <v>0</v>
      </c>
      <c r="J246" s="140">
        <v>0</v>
      </c>
      <c r="K246" s="140">
        <v>0</v>
      </c>
      <c r="L246" s="140">
        <v>0</v>
      </c>
      <c r="M246" s="140">
        <v>0</v>
      </c>
      <c r="N246" s="140">
        <v>0</v>
      </c>
      <c r="O246" s="140">
        <v>0</v>
      </c>
      <c r="P246" s="140">
        <v>0</v>
      </c>
      <c r="Q246" s="140">
        <v>0</v>
      </c>
      <c r="R246" s="140">
        <v>0</v>
      </c>
      <c r="S246" s="140">
        <v>0</v>
      </c>
      <c r="T246" s="140">
        <v>0</v>
      </c>
      <c r="U246" s="140">
        <v>0</v>
      </c>
      <c r="V246" s="140">
        <v>0</v>
      </c>
      <c r="W246" s="140">
        <v>0</v>
      </c>
      <c r="X246" s="140">
        <v>0</v>
      </c>
      <c r="Y246" s="140">
        <v>0</v>
      </c>
      <c r="Z246" s="140">
        <v>0</v>
      </c>
      <c r="AB246" s="139">
        <f>SUM(C246:Z246)</f>
        <v>0</v>
      </c>
    </row>
    <row r="247" spans="1:28" x14ac:dyDescent="0.2">
      <c r="A247" s="127" t="str">
        <f>'Scenario List'!$A$8</f>
        <v>6- WRAP PRM</v>
      </c>
      <c r="B247" s="128" t="s">
        <v>13</v>
      </c>
      <c r="D247" s="140">
        <v>0</v>
      </c>
      <c r="E247" s="140">
        <v>0</v>
      </c>
      <c r="F247" s="140">
        <v>0</v>
      </c>
      <c r="G247" s="140">
        <v>0</v>
      </c>
      <c r="H247" s="140">
        <v>0</v>
      </c>
      <c r="I247" s="140">
        <v>0</v>
      </c>
      <c r="J247" s="140">
        <v>0</v>
      </c>
      <c r="K247" s="140">
        <v>0</v>
      </c>
      <c r="L247" s="140">
        <v>0</v>
      </c>
      <c r="M247" s="140">
        <v>0</v>
      </c>
      <c r="N247" s="140">
        <v>0</v>
      </c>
      <c r="O247" s="140">
        <v>0</v>
      </c>
      <c r="P247" s="140">
        <v>0</v>
      </c>
      <c r="Q247" s="140">
        <v>0</v>
      </c>
      <c r="R247" s="140">
        <v>0</v>
      </c>
      <c r="S247" s="140">
        <v>0</v>
      </c>
      <c r="T247" s="140">
        <v>0</v>
      </c>
      <c r="U247" s="140">
        <v>0</v>
      </c>
      <c r="V247" s="140">
        <v>0</v>
      </c>
      <c r="W247" s="140">
        <v>0</v>
      </c>
      <c r="X247" s="140">
        <v>0</v>
      </c>
      <c r="Y247" s="140">
        <v>0</v>
      </c>
      <c r="Z247" s="140">
        <v>0</v>
      </c>
      <c r="AB247" s="139">
        <f t="shared" ref="AB247:AB254" si="15">SUM(C247:Z247)</f>
        <v>0</v>
      </c>
    </row>
    <row r="248" spans="1:28" x14ac:dyDescent="0.2">
      <c r="A248" s="127" t="str">
        <f>'Scenario List'!$A$8</f>
        <v>6- WRAP PRM</v>
      </c>
      <c r="B248" s="128" t="s">
        <v>14</v>
      </c>
      <c r="D248" s="140">
        <v>0</v>
      </c>
      <c r="E248" s="140">
        <v>0</v>
      </c>
      <c r="F248" s="140">
        <v>0</v>
      </c>
      <c r="G248" s="140">
        <v>0</v>
      </c>
      <c r="H248" s="140">
        <v>0</v>
      </c>
      <c r="I248" s="140">
        <v>0</v>
      </c>
      <c r="J248" s="140">
        <v>0</v>
      </c>
      <c r="K248" s="140">
        <v>0</v>
      </c>
      <c r="L248" s="140">
        <v>0</v>
      </c>
      <c r="M248" s="140">
        <v>0</v>
      </c>
      <c r="N248" s="140">
        <v>0</v>
      </c>
      <c r="O248" s="140">
        <v>0</v>
      </c>
      <c r="P248" s="140">
        <v>0</v>
      </c>
      <c r="Q248" s="140">
        <v>0</v>
      </c>
      <c r="R248" s="140">
        <v>0</v>
      </c>
      <c r="S248" s="140">
        <v>0</v>
      </c>
      <c r="T248" s="140">
        <v>0</v>
      </c>
      <c r="U248" s="140">
        <v>0</v>
      </c>
      <c r="V248" s="140">
        <v>0</v>
      </c>
      <c r="W248" s="140">
        <v>0</v>
      </c>
      <c r="X248" s="140">
        <v>0</v>
      </c>
      <c r="Y248" s="140">
        <v>0</v>
      </c>
      <c r="Z248" s="140">
        <v>0</v>
      </c>
      <c r="AB248" s="139">
        <f t="shared" si="15"/>
        <v>0</v>
      </c>
    </row>
    <row r="249" spans="1:28" x14ac:dyDescent="0.2">
      <c r="A249" s="127" t="str">
        <f>'Scenario List'!$A$8</f>
        <v>6- WRAP PRM</v>
      </c>
      <c r="B249" s="128" t="s">
        <v>15</v>
      </c>
      <c r="D249" s="140">
        <v>0</v>
      </c>
      <c r="E249" s="140">
        <v>0</v>
      </c>
      <c r="F249" s="140">
        <v>0</v>
      </c>
      <c r="G249" s="140">
        <v>0</v>
      </c>
      <c r="H249" s="140">
        <v>0</v>
      </c>
      <c r="I249" s="140">
        <v>0</v>
      </c>
      <c r="J249" s="140">
        <v>0</v>
      </c>
      <c r="K249" s="140">
        <v>0</v>
      </c>
      <c r="L249" s="140">
        <v>0</v>
      </c>
      <c r="M249" s="140">
        <v>0</v>
      </c>
      <c r="N249" s="140">
        <v>0</v>
      </c>
      <c r="O249" s="140">
        <v>0</v>
      </c>
      <c r="P249" s="140">
        <v>0</v>
      </c>
      <c r="Q249" s="140">
        <v>0</v>
      </c>
      <c r="R249" s="140">
        <v>0</v>
      </c>
      <c r="S249" s="140">
        <v>0</v>
      </c>
      <c r="T249" s="140">
        <v>0</v>
      </c>
      <c r="U249" s="140">
        <v>0</v>
      </c>
      <c r="V249" s="140">
        <v>0</v>
      </c>
      <c r="W249" s="140">
        <v>0</v>
      </c>
      <c r="X249" s="140">
        <v>0</v>
      </c>
      <c r="Y249" s="140">
        <v>0</v>
      </c>
      <c r="Z249" s="140">
        <v>0</v>
      </c>
      <c r="AB249" s="139">
        <f t="shared" si="15"/>
        <v>0</v>
      </c>
    </row>
    <row r="250" spans="1:28" x14ac:dyDescent="0.2">
      <c r="A250" s="127" t="str">
        <f>'Scenario List'!$A$8</f>
        <v>6- WRAP PRM</v>
      </c>
      <c r="B250" s="128" t="s">
        <v>16</v>
      </c>
      <c r="D250" s="140">
        <v>0</v>
      </c>
      <c r="E250" s="140">
        <v>0</v>
      </c>
      <c r="F250" s="140">
        <v>0</v>
      </c>
      <c r="G250" s="140">
        <v>0</v>
      </c>
      <c r="H250" s="140">
        <v>0</v>
      </c>
      <c r="I250" s="140">
        <v>0</v>
      </c>
      <c r="J250" s="140">
        <v>0</v>
      </c>
      <c r="K250" s="140">
        <v>0</v>
      </c>
      <c r="L250" s="140">
        <v>0</v>
      </c>
      <c r="M250" s="140">
        <v>0</v>
      </c>
      <c r="N250" s="140">
        <v>0</v>
      </c>
      <c r="O250" s="140">
        <v>0</v>
      </c>
      <c r="P250" s="140">
        <v>0</v>
      </c>
      <c r="Q250" s="140">
        <v>0</v>
      </c>
      <c r="R250" s="140">
        <v>0</v>
      </c>
      <c r="S250" s="140">
        <v>0</v>
      </c>
      <c r="T250" s="140">
        <v>0</v>
      </c>
      <c r="U250" s="140">
        <v>50</v>
      </c>
      <c r="V250" s="140">
        <v>77.225370401930476</v>
      </c>
      <c r="W250" s="140">
        <v>0</v>
      </c>
      <c r="X250" s="140">
        <v>68.061252767569272</v>
      </c>
      <c r="Y250" s="140">
        <v>50</v>
      </c>
      <c r="Z250" s="140">
        <v>0</v>
      </c>
      <c r="AB250" s="139">
        <f t="shared" si="15"/>
        <v>245.28662316949976</v>
      </c>
    </row>
    <row r="251" spans="1:28" x14ac:dyDescent="0.2">
      <c r="A251" s="127" t="str">
        <f>'Scenario List'!$A$8</f>
        <v>6- WRAP PRM</v>
      </c>
      <c r="B251" s="128" t="s">
        <v>85</v>
      </c>
      <c r="D251" s="140">
        <v>0</v>
      </c>
      <c r="E251" s="140">
        <v>0</v>
      </c>
      <c r="F251" s="140">
        <v>0</v>
      </c>
      <c r="G251" s="140">
        <v>0</v>
      </c>
      <c r="H251" s="140">
        <v>0</v>
      </c>
      <c r="I251" s="140">
        <v>0</v>
      </c>
      <c r="J251" s="140">
        <v>0</v>
      </c>
      <c r="K251" s="140">
        <v>0</v>
      </c>
      <c r="L251" s="140">
        <v>0</v>
      </c>
      <c r="M251" s="140">
        <v>0</v>
      </c>
      <c r="N251" s="140">
        <v>0</v>
      </c>
      <c r="O251" s="140">
        <v>0</v>
      </c>
      <c r="P251" s="140">
        <v>0</v>
      </c>
      <c r="Q251" s="140">
        <v>0</v>
      </c>
      <c r="R251" s="140">
        <v>0</v>
      </c>
      <c r="S251" s="140">
        <v>0</v>
      </c>
      <c r="T251" s="140">
        <v>0</v>
      </c>
      <c r="U251" s="140">
        <v>0</v>
      </c>
      <c r="V251" s="140">
        <v>0</v>
      </c>
      <c r="W251" s="140">
        <v>0</v>
      </c>
      <c r="X251" s="140">
        <v>0</v>
      </c>
      <c r="Y251" s="140">
        <v>0</v>
      </c>
      <c r="Z251" s="140">
        <v>0</v>
      </c>
      <c r="AB251" s="139">
        <f t="shared" si="15"/>
        <v>0</v>
      </c>
    </row>
    <row r="252" spans="1:28" x14ac:dyDescent="0.2">
      <c r="A252" s="127" t="str">
        <f>'Scenario List'!$A$8</f>
        <v>6- WRAP PRM</v>
      </c>
      <c r="B252" s="128" t="s">
        <v>86</v>
      </c>
      <c r="D252" s="140">
        <v>0</v>
      </c>
      <c r="E252" s="140">
        <v>0</v>
      </c>
      <c r="F252" s="140">
        <v>0</v>
      </c>
      <c r="G252" s="140">
        <v>0</v>
      </c>
      <c r="H252" s="140">
        <v>0</v>
      </c>
      <c r="I252" s="140">
        <v>0</v>
      </c>
      <c r="J252" s="140">
        <v>0</v>
      </c>
      <c r="K252" s="140">
        <v>0</v>
      </c>
      <c r="L252" s="140">
        <v>0</v>
      </c>
      <c r="M252" s="140">
        <v>0</v>
      </c>
      <c r="N252" s="140">
        <v>0</v>
      </c>
      <c r="O252" s="140">
        <v>0</v>
      </c>
      <c r="P252" s="140">
        <v>0</v>
      </c>
      <c r="Q252" s="140">
        <v>0</v>
      </c>
      <c r="R252" s="140">
        <v>0</v>
      </c>
      <c r="S252" s="140">
        <v>0</v>
      </c>
      <c r="T252" s="140">
        <v>0</v>
      </c>
      <c r="U252" s="140">
        <v>0</v>
      </c>
      <c r="V252" s="140">
        <v>0</v>
      </c>
      <c r="W252" s="140">
        <v>0</v>
      </c>
      <c r="X252" s="140">
        <v>0</v>
      </c>
      <c r="Y252" s="140">
        <v>0</v>
      </c>
      <c r="Z252" s="140">
        <v>0</v>
      </c>
      <c r="AB252" s="139">
        <f t="shared" si="15"/>
        <v>0</v>
      </c>
    </row>
    <row r="253" spans="1:28" x14ac:dyDescent="0.2">
      <c r="A253" s="127" t="str">
        <f>'Scenario List'!$A$8</f>
        <v>6- WRAP PRM</v>
      </c>
      <c r="B253" s="128" t="s">
        <v>87</v>
      </c>
      <c r="D253" s="140">
        <v>0</v>
      </c>
      <c r="E253" s="140">
        <v>0</v>
      </c>
      <c r="F253" s="140">
        <v>0</v>
      </c>
      <c r="G253" s="140">
        <v>0</v>
      </c>
      <c r="H253" s="140">
        <v>0</v>
      </c>
      <c r="I253" s="140">
        <v>0</v>
      </c>
      <c r="J253" s="140">
        <v>0</v>
      </c>
      <c r="K253" s="140">
        <v>0</v>
      </c>
      <c r="L253" s="140">
        <v>0</v>
      </c>
      <c r="M253" s="140">
        <v>0</v>
      </c>
      <c r="N253" s="140">
        <v>0</v>
      </c>
      <c r="O253" s="140">
        <v>0</v>
      </c>
      <c r="P253" s="140">
        <v>0</v>
      </c>
      <c r="Q253" s="140">
        <v>10</v>
      </c>
      <c r="R253" s="140">
        <v>0</v>
      </c>
      <c r="S253" s="140">
        <v>0</v>
      </c>
      <c r="T253" s="140">
        <v>0</v>
      </c>
      <c r="U253" s="140">
        <v>0</v>
      </c>
      <c r="V253" s="140">
        <v>0</v>
      </c>
      <c r="W253" s="140">
        <v>0</v>
      </c>
      <c r="X253" s="140">
        <v>0</v>
      </c>
      <c r="Y253" s="140">
        <v>0</v>
      </c>
      <c r="Z253" s="140">
        <v>0</v>
      </c>
      <c r="AB253" s="139">
        <f t="shared" si="15"/>
        <v>10</v>
      </c>
    </row>
    <row r="254" spans="1:28" x14ac:dyDescent="0.2">
      <c r="A254" s="127" t="str">
        <f>'Scenario List'!$A$8</f>
        <v>6- WRAP PRM</v>
      </c>
      <c r="B254" s="128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B254" s="139">
        <f t="shared" si="15"/>
        <v>0</v>
      </c>
    </row>
    <row r="255" spans="1:28" x14ac:dyDescent="0.2">
      <c r="A255" s="127" t="str">
        <f>'Scenario List'!$A$8</f>
        <v>6- WRAP PRM</v>
      </c>
      <c r="B255" s="128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  <c r="AB255" s="139"/>
    </row>
    <row r="256" spans="1:28" x14ac:dyDescent="0.2">
      <c r="A256" s="127" t="str">
        <f>'Scenario List'!$A$8</f>
        <v>6- WRAP PRM</v>
      </c>
      <c r="B256" s="128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B256" s="139"/>
    </row>
    <row r="257" spans="1:28" x14ac:dyDescent="0.2">
      <c r="A257" s="127" t="str">
        <f>'Scenario List'!$A$8</f>
        <v>6- WRAP PRM</v>
      </c>
      <c r="B257" s="131" t="s">
        <v>9</v>
      </c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B257" s="139"/>
    </row>
    <row r="258" spans="1:28" x14ac:dyDescent="0.2">
      <c r="A258" s="127" t="str">
        <f>'Scenario List'!$A$8</f>
        <v>6- WRAP PRM</v>
      </c>
      <c r="B258" s="128" t="s">
        <v>12</v>
      </c>
      <c r="D258" s="140">
        <v>0</v>
      </c>
      <c r="E258" s="140">
        <v>0</v>
      </c>
      <c r="F258" s="140">
        <v>0</v>
      </c>
      <c r="G258" s="140">
        <v>0</v>
      </c>
      <c r="H258" s="140">
        <v>0</v>
      </c>
      <c r="I258" s="140">
        <v>0</v>
      </c>
      <c r="J258" s="140">
        <v>0</v>
      </c>
      <c r="K258" s="140">
        <v>0</v>
      </c>
      <c r="L258" s="140">
        <v>0</v>
      </c>
      <c r="M258" s="140">
        <v>0</v>
      </c>
      <c r="N258" s="140">
        <v>0</v>
      </c>
      <c r="O258" s="140">
        <v>0</v>
      </c>
      <c r="P258" s="140">
        <v>0</v>
      </c>
      <c r="Q258" s="140">
        <v>0</v>
      </c>
      <c r="R258" s="140">
        <v>0</v>
      </c>
      <c r="S258" s="140">
        <v>0</v>
      </c>
      <c r="T258" s="140">
        <v>0</v>
      </c>
      <c r="U258" s="140">
        <v>0</v>
      </c>
      <c r="V258" s="140">
        <v>0</v>
      </c>
      <c r="W258" s="140">
        <v>0</v>
      </c>
      <c r="X258" s="140">
        <v>0</v>
      </c>
      <c r="Y258" s="140">
        <v>0</v>
      </c>
      <c r="Z258" s="140">
        <v>0</v>
      </c>
      <c r="AB258" s="139">
        <f t="shared" ref="AB258:AB268" si="16">SUM(C258:Z258)</f>
        <v>0</v>
      </c>
    </row>
    <row r="259" spans="1:28" x14ac:dyDescent="0.2">
      <c r="A259" s="127" t="str">
        <f>'Scenario List'!$A$8</f>
        <v>6- WRAP PRM</v>
      </c>
      <c r="B259" s="128" t="s">
        <v>13</v>
      </c>
      <c r="D259" s="140">
        <v>0</v>
      </c>
      <c r="E259" s="140">
        <v>0.66473348291362344</v>
      </c>
      <c r="F259" s="140">
        <v>0.68964227723279592</v>
      </c>
      <c r="G259" s="140">
        <v>0.71589898207405445</v>
      </c>
      <c r="H259" s="140">
        <v>0.74474658163446983</v>
      </c>
      <c r="I259" s="140">
        <v>0.77630089828866411</v>
      </c>
      <c r="J259" s="140">
        <v>0.80410589762050833</v>
      </c>
      <c r="K259" s="140">
        <v>0.83083714578616841</v>
      </c>
      <c r="L259" s="140">
        <v>0.86470310660027006</v>
      </c>
      <c r="M259" s="140">
        <v>0.89748888614452127</v>
      </c>
      <c r="N259" s="140">
        <v>0.92585303260081631</v>
      </c>
      <c r="O259" s="140">
        <v>0.24928505126105224</v>
      </c>
      <c r="P259" s="140">
        <v>0.23576630906236262</v>
      </c>
      <c r="Q259" s="140">
        <v>0.24612163403694731</v>
      </c>
      <c r="R259" s="140">
        <v>0.26314374492236564</v>
      </c>
      <c r="S259" s="140">
        <v>0.27667692854983672</v>
      </c>
      <c r="T259" s="140">
        <v>0.2</v>
      </c>
      <c r="U259" s="140">
        <v>0.2</v>
      </c>
      <c r="V259" s="140">
        <v>0.20793617496581729</v>
      </c>
      <c r="W259" s="140">
        <v>0.2148907677257062</v>
      </c>
      <c r="X259" s="140">
        <v>0</v>
      </c>
      <c r="Y259" s="140">
        <v>0.23264187885233412</v>
      </c>
      <c r="Z259" s="140">
        <v>0.40623326277467608</v>
      </c>
      <c r="AB259" s="139">
        <f t="shared" si="16"/>
        <v>10.647006043046989</v>
      </c>
    </row>
    <row r="260" spans="1:28" x14ac:dyDescent="0.2">
      <c r="A260" s="127" t="str">
        <f>'Scenario List'!$A$8</f>
        <v>6- WRAP PRM</v>
      </c>
      <c r="B260" s="128" t="s">
        <v>14</v>
      </c>
      <c r="D260" s="140">
        <v>0</v>
      </c>
      <c r="E260" s="140">
        <v>0</v>
      </c>
      <c r="F260" s="140">
        <v>0</v>
      </c>
      <c r="G260" s="140">
        <v>0</v>
      </c>
      <c r="H260" s="140">
        <v>0</v>
      </c>
      <c r="I260" s="140">
        <v>0</v>
      </c>
      <c r="J260" s="140">
        <v>0</v>
      </c>
      <c r="K260" s="140">
        <v>0</v>
      </c>
      <c r="L260" s="140">
        <v>0</v>
      </c>
      <c r="M260" s="140">
        <v>0</v>
      </c>
      <c r="N260" s="140">
        <v>0</v>
      </c>
      <c r="O260" s="140">
        <v>0</v>
      </c>
      <c r="P260" s="140">
        <v>0</v>
      </c>
      <c r="Q260" s="140">
        <v>0</v>
      </c>
      <c r="R260" s="140">
        <v>0</v>
      </c>
      <c r="S260" s="140">
        <v>0</v>
      </c>
      <c r="T260" s="140">
        <v>0.1</v>
      </c>
      <c r="U260" s="140">
        <v>0.1</v>
      </c>
      <c r="V260" s="140">
        <v>0.10396808748290863</v>
      </c>
      <c r="W260" s="140">
        <v>0.1074453838628531</v>
      </c>
      <c r="X260" s="140">
        <v>0</v>
      </c>
      <c r="Y260" s="140">
        <v>0.11632093942616706</v>
      </c>
      <c r="Z260" s="140">
        <v>0</v>
      </c>
      <c r="AB260" s="139">
        <f t="shared" si="16"/>
        <v>0.52773441077192884</v>
      </c>
    </row>
    <row r="261" spans="1:28" x14ac:dyDescent="0.2">
      <c r="A261" s="127" t="str">
        <f>'Scenario List'!$A$8</f>
        <v>6- WRAP PRM</v>
      </c>
      <c r="B261" s="128" t="s">
        <v>15</v>
      </c>
      <c r="D261" s="140">
        <v>0</v>
      </c>
      <c r="E261" s="140">
        <v>0</v>
      </c>
      <c r="F261" s="140">
        <v>0</v>
      </c>
      <c r="G261" s="140">
        <v>0</v>
      </c>
      <c r="H261" s="140">
        <v>0</v>
      </c>
      <c r="I261" s="140">
        <v>0</v>
      </c>
      <c r="J261" s="140">
        <v>0</v>
      </c>
      <c r="K261" s="140">
        <v>200</v>
      </c>
      <c r="L261" s="140">
        <v>0</v>
      </c>
      <c r="M261" s="140">
        <v>199.99999999999997</v>
      </c>
      <c r="N261" s="140">
        <v>0</v>
      </c>
      <c r="O261" s="140">
        <v>0</v>
      </c>
      <c r="P261" s="140">
        <v>0</v>
      </c>
      <c r="Q261" s="140">
        <v>0</v>
      </c>
      <c r="R261" s="140">
        <v>0</v>
      </c>
      <c r="S261" s="140">
        <v>0</v>
      </c>
      <c r="T261" s="140">
        <v>0</v>
      </c>
      <c r="U261" s="140">
        <v>0</v>
      </c>
      <c r="V261" s="140">
        <v>140</v>
      </c>
      <c r="W261" s="140">
        <v>105</v>
      </c>
      <c r="X261" s="140">
        <v>0</v>
      </c>
      <c r="Y261" s="140">
        <v>183.42626721947587</v>
      </c>
      <c r="Z261" s="140">
        <v>199.99999999999991</v>
      </c>
      <c r="AB261" s="139">
        <f t="shared" si="16"/>
        <v>1028.4262672194759</v>
      </c>
    </row>
    <row r="262" spans="1:28" x14ac:dyDescent="0.2">
      <c r="A262" s="127" t="str">
        <f>'Scenario List'!$A$8</f>
        <v>6- WRAP PRM</v>
      </c>
      <c r="B262" s="128" t="s">
        <v>16</v>
      </c>
      <c r="D262" s="140">
        <v>0</v>
      </c>
      <c r="E262" s="140">
        <v>0</v>
      </c>
      <c r="F262" s="140">
        <v>0</v>
      </c>
      <c r="G262" s="140">
        <v>0</v>
      </c>
      <c r="H262" s="140">
        <v>0</v>
      </c>
      <c r="I262" s="140">
        <v>0</v>
      </c>
      <c r="J262" s="140">
        <v>0</v>
      </c>
      <c r="K262" s="140">
        <v>0</v>
      </c>
      <c r="L262" s="140">
        <v>0</v>
      </c>
      <c r="M262" s="140">
        <v>0</v>
      </c>
      <c r="N262" s="140">
        <v>0</v>
      </c>
      <c r="O262" s="140">
        <v>0</v>
      </c>
      <c r="P262" s="140">
        <v>0</v>
      </c>
      <c r="Q262" s="140">
        <v>55.648962433615502</v>
      </c>
      <c r="R262" s="140">
        <v>0</v>
      </c>
      <c r="S262" s="140">
        <v>50</v>
      </c>
      <c r="T262" s="140">
        <v>0</v>
      </c>
      <c r="U262" s="140">
        <v>0</v>
      </c>
      <c r="V262" s="140">
        <v>0</v>
      </c>
      <c r="W262" s="140">
        <v>100.84767006954488</v>
      </c>
      <c r="X262" s="140">
        <v>0.5</v>
      </c>
      <c r="Y262" s="140">
        <v>0</v>
      </c>
      <c r="Z262" s="140">
        <v>0</v>
      </c>
      <c r="AB262" s="139">
        <f t="shared" si="16"/>
        <v>206.99663250316038</v>
      </c>
    </row>
    <row r="263" spans="1:28" x14ac:dyDescent="0.2">
      <c r="A263" s="127" t="str">
        <f>'Scenario List'!$A$8</f>
        <v>6- WRAP PRM</v>
      </c>
      <c r="B263" s="128" t="s">
        <v>85</v>
      </c>
      <c r="D263" s="140">
        <v>0</v>
      </c>
      <c r="E263" s="140">
        <v>0</v>
      </c>
      <c r="F263" s="140">
        <v>0</v>
      </c>
      <c r="G263" s="140">
        <v>0</v>
      </c>
      <c r="H263" s="140">
        <v>0</v>
      </c>
      <c r="I263" s="140">
        <v>0</v>
      </c>
      <c r="J263" s="140">
        <v>0</v>
      </c>
      <c r="K263" s="140">
        <v>0</v>
      </c>
      <c r="L263" s="140">
        <v>0</v>
      </c>
      <c r="M263" s="140">
        <v>0</v>
      </c>
      <c r="N263" s="140">
        <v>0</v>
      </c>
      <c r="O263" s="140">
        <v>0</v>
      </c>
      <c r="P263" s="140">
        <v>0</v>
      </c>
      <c r="Q263" s="140">
        <v>0</v>
      </c>
      <c r="R263" s="140">
        <v>0</v>
      </c>
      <c r="S263" s="140">
        <v>0</v>
      </c>
      <c r="T263" s="140">
        <v>0</v>
      </c>
      <c r="U263" s="140">
        <v>0</v>
      </c>
      <c r="V263" s="140">
        <v>0</v>
      </c>
      <c r="W263" s="140">
        <v>77.970871054190212</v>
      </c>
      <c r="X263" s="140">
        <v>0</v>
      </c>
      <c r="Y263" s="140">
        <v>0</v>
      </c>
      <c r="Z263" s="140">
        <v>500</v>
      </c>
      <c r="AB263" s="139">
        <f t="shared" si="16"/>
        <v>577.97087105419018</v>
      </c>
    </row>
    <row r="264" spans="1:28" x14ac:dyDescent="0.2">
      <c r="A264" s="127" t="str">
        <f>'Scenario List'!$A$8</f>
        <v>6- WRAP PRM</v>
      </c>
      <c r="B264" s="128" t="s">
        <v>86</v>
      </c>
      <c r="D264" s="140">
        <v>0</v>
      </c>
      <c r="E264" s="140">
        <v>0</v>
      </c>
      <c r="F264" s="140">
        <v>0</v>
      </c>
      <c r="G264" s="140">
        <v>0</v>
      </c>
      <c r="H264" s="140">
        <v>0</v>
      </c>
      <c r="I264" s="140">
        <v>0</v>
      </c>
      <c r="J264" s="140">
        <v>0</v>
      </c>
      <c r="K264" s="140">
        <v>0</v>
      </c>
      <c r="L264" s="140">
        <v>0</v>
      </c>
      <c r="M264" s="140">
        <v>0</v>
      </c>
      <c r="N264" s="140">
        <v>0</v>
      </c>
      <c r="O264" s="140">
        <v>0</v>
      </c>
      <c r="P264" s="140">
        <v>0</v>
      </c>
      <c r="Q264" s="140">
        <v>0</v>
      </c>
      <c r="R264" s="140">
        <v>0</v>
      </c>
      <c r="S264" s="140">
        <v>0</v>
      </c>
      <c r="T264" s="140">
        <v>0</v>
      </c>
      <c r="U264" s="140">
        <v>0</v>
      </c>
      <c r="V264" s="140">
        <v>0</v>
      </c>
      <c r="W264" s="140">
        <v>0</v>
      </c>
      <c r="X264" s="140">
        <v>0</v>
      </c>
      <c r="Y264" s="140">
        <v>0</v>
      </c>
      <c r="Z264" s="140">
        <v>20</v>
      </c>
      <c r="AB264" s="139">
        <f t="shared" si="16"/>
        <v>20</v>
      </c>
    </row>
    <row r="265" spans="1:28" x14ac:dyDescent="0.2">
      <c r="A265" s="127" t="str">
        <f>'Scenario List'!$A$8</f>
        <v>6- WRAP PRM</v>
      </c>
      <c r="B265" s="128" t="s">
        <v>87</v>
      </c>
      <c r="D265" s="140">
        <v>0</v>
      </c>
      <c r="E265" s="140">
        <v>0</v>
      </c>
      <c r="F265" s="140">
        <v>0</v>
      </c>
      <c r="G265" s="140">
        <v>0</v>
      </c>
      <c r="H265" s="140">
        <v>0</v>
      </c>
      <c r="I265" s="140">
        <v>0</v>
      </c>
      <c r="J265" s="140">
        <v>0</v>
      </c>
      <c r="K265" s="140">
        <v>0</v>
      </c>
      <c r="L265" s="140">
        <v>0</v>
      </c>
      <c r="M265" s="140">
        <v>0</v>
      </c>
      <c r="N265" s="140">
        <v>0</v>
      </c>
      <c r="O265" s="140">
        <v>0</v>
      </c>
      <c r="P265" s="140">
        <v>0</v>
      </c>
      <c r="Q265" s="140">
        <v>0</v>
      </c>
      <c r="R265" s="140">
        <v>0</v>
      </c>
      <c r="S265" s="140">
        <v>0</v>
      </c>
      <c r="T265" s="140">
        <v>0</v>
      </c>
      <c r="U265" s="140">
        <v>0</v>
      </c>
      <c r="V265" s="140">
        <v>0</v>
      </c>
      <c r="W265" s="140">
        <v>0</v>
      </c>
      <c r="X265" s="140">
        <v>0</v>
      </c>
      <c r="Y265" s="140">
        <v>0</v>
      </c>
      <c r="Z265" s="140">
        <v>0</v>
      </c>
      <c r="AB265" s="139">
        <f t="shared" si="16"/>
        <v>0</v>
      </c>
    </row>
    <row r="266" spans="1:28" x14ac:dyDescent="0.2">
      <c r="A266" s="127" t="str">
        <f>'Scenario List'!$A$8</f>
        <v>6- WRAP PRM</v>
      </c>
      <c r="B266" s="128" t="s">
        <v>17</v>
      </c>
      <c r="D266" s="140">
        <v>0</v>
      </c>
      <c r="E266" s="140">
        <v>0</v>
      </c>
      <c r="F266" s="140">
        <v>6.7666466459931875</v>
      </c>
      <c r="G266" s="140">
        <v>0</v>
      </c>
      <c r="H266" s="140">
        <v>0</v>
      </c>
      <c r="I266" s="140">
        <v>0</v>
      </c>
      <c r="J266" s="140">
        <v>0</v>
      </c>
      <c r="K266" s="140">
        <v>0</v>
      </c>
      <c r="L266" s="140">
        <v>0</v>
      </c>
      <c r="M266" s="140">
        <v>0</v>
      </c>
      <c r="N266" s="140">
        <v>0</v>
      </c>
      <c r="O266" s="140">
        <v>0</v>
      </c>
      <c r="P266" s="140">
        <v>0</v>
      </c>
      <c r="Q266" s="140">
        <v>0</v>
      </c>
      <c r="R266" s="140">
        <v>0</v>
      </c>
      <c r="S266" s="140">
        <v>0</v>
      </c>
      <c r="T266" s="140">
        <v>0</v>
      </c>
      <c r="U266" s="140">
        <v>0</v>
      </c>
      <c r="V266" s="140">
        <v>0</v>
      </c>
      <c r="W266" s="140">
        <v>0</v>
      </c>
      <c r="X266" s="140">
        <v>0</v>
      </c>
      <c r="Y266" s="140">
        <v>0</v>
      </c>
      <c r="Z266" s="140">
        <v>0</v>
      </c>
      <c r="AB266" s="139">
        <f t="shared" si="16"/>
        <v>6.7666466459931875</v>
      </c>
    </row>
    <row r="267" spans="1:28" x14ac:dyDescent="0.2">
      <c r="A267" s="127" t="str">
        <f>'Scenario List'!$A$8</f>
        <v>6- WRAP PRM</v>
      </c>
      <c r="B267" s="128" t="s">
        <v>18</v>
      </c>
      <c r="D267" s="140">
        <v>1.4925596312978664</v>
      </c>
      <c r="E267" s="140">
        <v>1.8638850648293048</v>
      </c>
      <c r="F267" s="140">
        <v>2.1032215547987492</v>
      </c>
      <c r="G267" s="140">
        <v>2.4805989125730701</v>
      </c>
      <c r="H267" s="140">
        <v>2.6559836727726367</v>
      </c>
      <c r="I267" s="140">
        <v>2.8240233295118795</v>
      </c>
      <c r="J267" s="140">
        <v>2.8357779051830843</v>
      </c>
      <c r="K267" s="140">
        <v>2.7058486515563658</v>
      </c>
      <c r="L267" s="140">
        <v>3.0944779086890364</v>
      </c>
      <c r="M267" s="140">
        <v>3.2638184413229432</v>
      </c>
      <c r="N267" s="140">
        <v>3.1412449942633138</v>
      </c>
      <c r="O267" s="140">
        <v>3.2168760842407131</v>
      </c>
      <c r="P267" s="140">
        <v>3.1598604500492513</v>
      </c>
      <c r="Q267" s="140">
        <v>3.1983812725452339</v>
      </c>
      <c r="R267" s="140">
        <v>2.8753989169103207</v>
      </c>
      <c r="S267" s="140">
        <v>2.5726499817624671</v>
      </c>
      <c r="T267" s="140">
        <v>2.4637230962250314</v>
      </c>
      <c r="U267" s="140">
        <v>2.4736048781528694</v>
      </c>
      <c r="V267" s="140">
        <v>2.1937675531874206</v>
      </c>
      <c r="W267" s="140">
        <v>2.265859051215017</v>
      </c>
      <c r="X267" s="140">
        <v>1.3812396357050147</v>
      </c>
      <c r="Y267" s="140">
        <v>1.5879199189187503</v>
      </c>
      <c r="Z267" s="140">
        <v>0.88164443319329422</v>
      </c>
      <c r="AB267" s="139">
        <f t="shared" si="16"/>
        <v>56.732365338903634</v>
      </c>
    </row>
    <row r="268" spans="1:28" x14ac:dyDescent="0.2">
      <c r="A268" s="127" t="str">
        <f>'Scenario List'!$A$8</f>
        <v>6- WRAP PRM</v>
      </c>
      <c r="B268" s="128" t="s">
        <v>19</v>
      </c>
      <c r="D268" s="140">
        <v>1.4133235417966321</v>
      </c>
      <c r="E268" s="140">
        <v>1.7981913447321518</v>
      </c>
      <c r="F268" s="140">
        <v>2.0754581508488803</v>
      </c>
      <c r="G268" s="140">
        <v>2.5168636275146756</v>
      </c>
      <c r="H268" s="140">
        <v>2.7579397229820701</v>
      </c>
      <c r="I268" s="140">
        <v>2.9908634400494076</v>
      </c>
      <c r="J268" s="140">
        <v>3.057651277671388</v>
      </c>
      <c r="K268" s="140">
        <v>2.9898407411690009</v>
      </c>
      <c r="L268" s="140">
        <v>3.4050211960413286</v>
      </c>
      <c r="M268" s="140">
        <v>3.649876483641318</v>
      </c>
      <c r="N268" s="140">
        <v>3.5622155363701644</v>
      </c>
      <c r="O268" s="140">
        <v>3.6329628266072937</v>
      </c>
      <c r="P268" s="140">
        <v>3.5414412648346172</v>
      </c>
      <c r="Q268" s="140">
        <v>3.5292339991285502</v>
      </c>
      <c r="R268" s="140">
        <v>3.124425175867799</v>
      </c>
      <c r="S268" s="140">
        <v>2.7059264163229386</v>
      </c>
      <c r="T268" s="140">
        <v>2.5716785262706594</v>
      </c>
      <c r="U268" s="140">
        <v>2.5161521578414821</v>
      </c>
      <c r="V268" s="140">
        <v>2.1405710300283047</v>
      </c>
      <c r="W268" s="140">
        <v>2.2074909989195604</v>
      </c>
      <c r="X268" s="140">
        <v>1.4014100301208359</v>
      </c>
      <c r="Y268" s="140">
        <v>1.6004339864391071</v>
      </c>
      <c r="Z268" s="140">
        <v>0.91222193233852522</v>
      </c>
      <c r="AB268" s="139">
        <f t="shared" si="16"/>
        <v>60.101193407536691</v>
      </c>
    </row>
    <row r="269" spans="1:28" x14ac:dyDescent="0.2">
      <c r="A269" s="127" t="str">
        <f>'Scenario List'!$A$8</f>
        <v>6- WRAP PRM</v>
      </c>
      <c r="B269" s="128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B269" s="139"/>
    </row>
    <row r="270" spans="1:28" x14ac:dyDescent="0.2">
      <c r="A270" s="127" t="str">
        <f>'Scenario List'!$A$8</f>
        <v>6- WRAP PRM</v>
      </c>
      <c r="B270" s="132" t="s">
        <v>8</v>
      </c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B270" s="139"/>
    </row>
    <row r="271" spans="1:28" x14ac:dyDescent="0.2">
      <c r="A271" s="127" t="str">
        <f>'Scenario List'!$A$8</f>
        <v>6- WRAP PRM</v>
      </c>
      <c r="B271" s="128" t="s">
        <v>12</v>
      </c>
      <c r="D271" s="140">
        <v>0</v>
      </c>
      <c r="E271" s="140">
        <v>0</v>
      </c>
      <c r="F271" s="140">
        <v>0</v>
      </c>
      <c r="G271" s="140">
        <v>0</v>
      </c>
      <c r="H271" s="140">
        <v>0</v>
      </c>
      <c r="I271" s="140">
        <v>0</v>
      </c>
      <c r="J271" s="140">
        <v>0</v>
      </c>
      <c r="K271" s="140">
        <v>0</v>
      </c>
      <c r="L271" s="140">
        <v>0</v>
      </c>
      <c r="M271" s="140">
        <v>0</v>
      </c>
      <c r="N271" s="140">
        <v>0</v>
      </c>
      <c r="O271" s="140">
        <v>0</v>
      </c>
      <c r="P271" s="140">
        <v>90.247500000000002</v>
      </c>
      <c r="Q271" s="140">
        <v>0</v>
      </c>
      <c r="R271" s="140">
        <v>0</v>
      </c>
      <c r="S271" s="140">
        <v>0</v>
      </c>
      <c r="T271" s="140">
        <v>0</v>
      </c>
      <c r="U271" s="140">
        <v>0</v>
      </c>
      <c r="V271" s="140">
        <v>0</v>
      </c>
      <c r="W271" s="140">
        <v>121.78162894580974</v>
      </c>
      <c r="X271" s="140">
        <v>0</v>
      </c>
      <c r="Y271" s="140">
        <v>0</v>
      </c>
      <c r="Z271" s="140">
        <v>90.247500000000002</v>
      </c>
      <c r="AB271" s="139">
        <f t="shared" ref="AB271:AB281" si="17">SUM(C271:Z271)</f>
        <v>302.27662894580976</v>
      </c>
    </row>
    <row r="272" spans="1:28" x14ac:dyDescent="0.2">
      <c r="A272" s="127" t="str">
        <f>'Scenario List'!$A$8</f>
        <v>6- WRAP PRM</v>
      </c>
      <c r="B272" s="128" t="s">
        <v>13</v>
      </c>
      <c r="D272" s="140">
        <v>0</v>
      </c>
      <c r="E272" s="140">
        <v>0</v>
      </c>
      <c r="F272" s="140">
        <v>0</v>
      </c>
      <c r="G272" s="140">
        <v>0</v>
      </c>
      <c r="H272" s="140">
        <v>0</v>
      </c>
      <c r="I272" s="140">
        <v>0</v>
      </c>
      <c r="J272" s="140">
        <v>0</v>
      </c>
      <c r="K272" s="140">
        <v>0</v>
      </c>
      <c r="L272" s="140">
        <v>0</v>
      </c>
      <c r="M272" s="140">
        <v>0</v>
      </c>
      <c r="N272" s="140">
        <v>0</v>
      </c>
      <c r="O272" s="140">
        <v>0</v>
      </c>
      <c r="P272" s="140">
        <v>0</v>
      </c>
      <c r="Q272" s="140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B272" s="139">
        <f t="shared" si="17"/>
        <v>0</v>
      </c>
    </row>
    <row r="273" spans="1:28" x14ac:dyDescent="0.2">
      <c r="A273" s="127" t="str">
        <f>'Scenario List'!$A$8</f>
        <v>6- WRAP PRM</v>
      </c>
      <c r="B273" s="128" t="s">
        <v>14</v>
      </c>
      <c r="D273" s="140">
        <v>0</v>
      </c>
      <c r="E273" s="140">
        <v>0</v>
      </c>
      <c r="F273" s="140">
        <v>0</v>
      </c>
      <c r="G273" s="140">
        <v>0</v>
      </c>
      <c r="H273" s="140">
        <v>0</v>
      </c>
      <c r="I273" s="140">
        <v>0</v>
      </c>
      <c r="J273" s="140">
        <v>0</v>
      </c>
      <c r="K273" s="140">
        <v>0</v>
      </c>
      <c r="L273" s="140">
        <v>0</v>
      </c>
      <c r="M273" s="140">
        <v>0</v>
      </c>
      <c r="N273" s="140">
        <v>0</v>
      </c>
      <c r="O273" s="140">
        <v>0</v>
      </c>
      <c r="P273" s="140">
        <v>0</v>
      </c>
      <c r="Q273" s="140">
        <v>0</v>
      </c>
      <c r="R273" s="140">
        <v>0</v>
      </c>
      <c r="S273" s="140">
        <v>0</v>
      </c>
      <c r="T273" s="140">
        <v>0</v>
      </c>
      <c r="U273" s="140">
        <v>0</v>
      </c>
      <c r="V273" s="140">
        <v>0</v>
      </c>
      <c r="W273" s="140">
        <v>0</v>
      </c>
      <c r="X273" s="140">
        <v>0</v>
      </c>
      <c r="Y273" s="140">
        <v>0</v>
      </c>
      <c r="Z273" s="140">
        <v>0</v>
      </c>
      <c r="AB273" s="139">
        <f t="shared" si="17"/>
        <v>0</v>
      </c>
    </row>
    <row r="274" spans="1:28" x14ac:dyDescent="0.2">
      <c r="A274" s="127" t="str">
        <f>'Scenario List'!$A$8</f>
        <v>6- WRAP PRM</v>
      </c>
      <c r="B274" s="128" t="s">
        <v>15</v>
      </c>
      <c r="D274" s="140">
        <v>0</v>
      </c>
      <c r="E274" s="140">
        <v>0</v>
      </c>
      <c r="F274" s="140">
        <v>0</v>
      </c>
      <c r="G274" s="140">
        <v>0</v>
      </c>
      <c r="H274" s="140">
        <v>0</v>
      </c>
      <c r="I274" s="140">
        <v>0</v>
      </c>
      <c r="J274" s="140">
        <v>0</v>
      </c>
      <c r="K274" s="140">
        <v>0</v>
      </c>
      <c r="L274" s="140">
        <v>0</v>
      </c>
      <c r="M274" s="140">
        <v>0</v>
      </c>
      <c r="N274" s="140">
        <v>0</v>
      </c>
      <c r="O274" s="140">
        <v>0</v>
      </c>
      <c r="P274" s="140">
        <v>0</v>
      </c>
      <c r="Q274" s="140">
        <v>0</v>
      </c>
      <c r="R274" s="140">
        <v>0</v>
      </c>
      <c r="S274" s="140">
        <v>0</v>
      </c>
      <c r="T274" s="140">
        <v>0</v>
      </c>
      <c r="U274" s="140">
        <v>0</v>
      </c>
      <c r="V274" s="140">
        <v>0</v>
      </c>
      <c r="W274" s="140">
        <v>0</v>
      </c>
      <c r="X274" s="140">
        <v>0</v>
      </c>
      <c r="Y274" s="140">
        <v>0</v>
      </c>
      <c r="Z274" s="140">
        <v>0</v>
      </c>
      <c r="AB274" s="139">
        <f t="shared" si="17"/>
        <v>0</v>
      </c>
    </row>
    <row r="275" spans="1:28" x14ac:dyDescent="0.2">
      <c r="A275" s="127" t="str">
        <f>'Scenario List'!$A$8</f>
        <v>6- WRAP PRM</v>
      </c>
      <c r="B275" s="128" t="s">
        <v>16</v>
      </c>
      <c r="D275" s="140">
        <v>0</v>
      </c>
      <c r="E275" s="140">
        <v>0</v>
      </c>
      <c r="F275" s="140">
        <v>0</v>
      </c>
      <c r="G275" s="140">
        <v>0</v>
      </c>
      <c r="H275" s="140">
        <v>0</v>
      </c>
      <c r="I275" s="140">
        <v>0</v>
      </c>
      <c r="J275" s="140">
        <v>0</v>
      </c>
      <c r="K275" s="140">
        <v>0</v>
      </c>
      <c r="L275" s="140">
        <v>0</v>
      </c>
      <c r="M275" s="140">
        <v>0</v>
      </c>
      <c r="N275" s="140">
        <v>0</v>
      </c>
      <c r="O275" s="140">
        <v>0</v>
      </c>
      <c r="P275" s="140">
        <v>0</v>
      </c>
      <c r="Q275" s="140">
        <v>0</v>
      </c>
      <c r="R275" s="140">
        <v>0</v>
      </c>
      <c r="S275" s="140">
        <v>0</v>
      </c>
      <c r="T275" s="140">
        <v>0</v>
      </c>
      <c r="U275" s="140">
        <v>0</v>
      </c>
      <c r="V275" s="140">
        <v>0</v>
      </c>
      <c r="W275" s="140">
        <v>0</v>
      </c>
      <c r="X275" s="140">
        <v>0</v>
      </c>
      <c r="Y275" s="140">
        <v>0</v>
      </c>
      <c r="Z275" s="140">
        <v>0</v>
      </c>
      <c r="AB275" s="139">
        <f t="shared" si="17"/>
        <v>0</v>
      </c>
    </row>
    <row r="276" spans="1:28" x14ac:dyDescent="0.2">
      <c r="A276" s="127" t="str">
        <f>'Scenario List'!$A$8</f>
        <v>6- WRAP PRM</v>
      </c>
      <c r="B276" s="128" t="s">
        <v>85</v>
      </c>
      <c r="D276" s="140">
        <v>0</v>
      </c>
      <c r="E276" s="140">
        <v>0</v>
      </c>
      <c r="F276" s="140">
        <v>0</v>
      </c>
      <c r="G276" s="140">
        <v>0</v>
      </c>
      <c r="H276" s="140">
        <v>0</v>
      </c>
      <c r="I276" s="140">
        <v>0</v>
      </c>
      <c r="J276" s="140">
        <v>0</v>
      </c>
      <c r="K276" s="140">
        <v>0</v>
      </c>
      <c r="L276" s="140">
        <v>0</v>
      </c>
      <c r="M276" s="140">
        <v>0</v>
      </c>
      <c r="N276" s="140">
        <v>0</v>
      </c>
      <c r="O276" s="140">
        <v>0</v>
      </c>
      <c r="P276" s="140">
        <v>0</v>
      </c>
      <c r="Q276" s="140">
        <v>0</v>
      </c>
      <c r="R276" s="140">
        <v>0</v>
      </c>
      <c r="S276" s="140">
        <v>0</v>
      </c>
      <c r="T276" s="140">
        <v>0</v>
      </c>
      <c r="U276" s="140">
        <v>0</v>
      </c>
      <c r="V276" s="140">
        <v>0</v>
      </c>
      <c r="W276" s="140">
        <v>0</v>
      </c>
      <c r="X276" s="140">
        <v>0</v>
      </c>
      <c r="Y276" s="140">
        <v>0</v>
      </c>
      <c r="Z276" s="140">
        <v>0</v>
      </c>
      <c r="AB276" s="139">
        <f t="shared" si="17"/>
        <v>0</v>
      </c>
    </row>
    <row r="277" spans="1:28" x14ac:dyDescent="0.2">
      <c r="A277" s="127" t="str">
        <f>'Scenario List'!$A$8</f>
        <v>6- WRAP PRM</v>
      </c>
      <c r="B277" s="128" t="s">
        <v>86</v>
      </c>
      <c r="D277" s="140">
        <v>0</v>
      </c>
      <c r="E277" s="140">
        <v>0</v>
      </c>
      <c r="F277" s="140">
        <v>0</v>
      </c>
      <c r="G277" s="140">
        <v>0</v>
      </c>
      <c r="H277" s="140">
        <v>0</v>
      </c>
      <c r="I277" s="140">
        <v>0</v>
      </c>
      <c r="J277" s="140">
        <v>0</v>
      </c>
      <c r="K277" s="140">
        <v>0</v>
      </c>
      <c r="L277" s="140">
        <v>0</v>
      </c>
      <c r="M277" s="140">
        <v>0</v>
      </c>
      <c r="N277" s="140">
        <v>0</v>
      </c>
      <c r="O277" s="140">
        <v>0</v>
      </c>
      <c r="P277" s="140">
        <v>0</v>
      </c>
      <c r="Q277" s="140">
        <v>0</v>
      </c>
      <c r="R277" s="140">
        <v>0</v>
      </c>
      <c r="S277" s="140">
        <v>0</v>
      </c>
      <c r="T277" s="140">
        <v>0</v>
      </c>
      <c r="U277" s="140">
        <v>0</v>
      </c>
      <c r="V277" s="140">
        <v>0</v>
      </c>
      <c r="W277" s="140">
        <v>0</v>
      </c>
      <c r="X277" s="140">
        <v>0</v>
      </c>
      <c r="Y277" s="140">
        <v>0</v>
      </c>
      <c r="Z277" s="140">
        <v>0</v>
      </c>
      <c r="AB277" s="139">
        <f t="shared" si="17"/>
        <v>0</v>
      </c>
    </row>
    <row r="278" spans="1:28" x14ac:dyDescent="0.2">
      <c r="A278" s="127" t="str">
        <f>'Scenario List'!$A$8</f>
        <v>6- WRAP PRM</v>
      </c>
      <c r="B278" s="128" t="s">
        <v>87</v>
      </c>
      <c r="D278" s="140">
        <v>0</v>
      </c>
      <c r="E278" s="140">
        <v>0</v>
      </c>
      <c r="F278" s="140">
        <v>0</v>
      </c>
      <c r="G278" s="140">
        <v>0</v>
      </c>
      <c r="H278" s="140">
        <v>0</v>
      </c>
      <c r="I278" s="140">
        <v>0</v>
      </c>
      <c r="J278" s="140">
        <v>0</v>
      </c>
      <c r="K278" s="140">
        <v>0</v>
      </c>
      <c r="L278" s="140">
        <v>0</v>
      </c>
      <c r="M278" s="140">
        <v>0</v>
      </c>
      <c r="N278" s="140">
        <v>0</v>
      </c>
      <c r="O278" s="140">
        <v>0</v>
      </c>
      <c r="P278" s="140">
        <v>0</v>
      </c>
      <c r="Q278" s="140">
        <v>0</v>
      </c>
      <c r="R278" s="140">
        <v>0</v>
      </c>
      <c r="S278" s="140">
        <v>0</v>
      </c>
      <c r="T278" s="140">
        <v>0</v>
      </c>
      <c r="U278" s="140">
        <v>0</v>
      </c>
      <c r="V278" s="140">
        <v>0</v>
      </c>
      <c r="W278" s="140">
        <v>0</v>
      </c>
      <c r="X278" s="140">
        <v>0</v>
      </c>
      <c r="Y278" s="140">
        <v>0</v>
      </c>
      <c r="Z278" s="140">
        <v>0</v>
      </c>
      <c r="AB278" s="139">
        <f t="shared" si="17"/>
        <v>0</v>
      </c>
    </row>
    <row r="279" spans="1:28" x14ac:dyDescent="0.2">
      <c r="A279" s="127" t="str">
        <f>'Scenario List'!$A$8</f>
        <v>6- WRAP PRM</v>
      </c>
      <c r="B279" s="128" t="s">
        <v>17</v>
      </c>
      <c r="D279" s="140">
        <v>0</v>
      </c>
      <c r="E279" s="140">
        <v>0</v>
      </c>
      <c r="F279" s="140">
        <v>0</v>
      </c>
      <c r="G279" s="140">
        <v>0</v>
      </c>
      <c r="H279" s="140">
        <v>0</v>
      </c>
      <c r="I279" s="140">
        <v>0</v>
      </c>
      <c r="J279" s="140">
        <v>0</v>
      </c>
      <c r="K279" s="140">
        <v>0</v>
      </c>
      <c r="L279" s="140">
        <v>0</v>
      </c>
      <c r="M279" s="140">
        <v>0</v>
      </c>
      <c r="N279" s="140">
        <v>0</v>
      </c>
      <c r="O279" s="140">
        <v>0</v>
      </c>
      <c r="P279" s="140">
        <v>0</v>
      </c>
      <c r="Q279" s="140">
        <v>0</v>
      </c>
      <c r="R279" s="140">
        <v>0</v>
      </c>
      <c r="S279" s="140">
        <v>0</v>
      </c>
      <c r="T279" s="140">
        <v>0</v>
      </c>
      <c r="U279" s="140">
        <v>0</v>
      </c>
      <c r="V279" s="140">
        <v>0</v>
      </c>
      <c r="W279" s="140">
        <v>0</v>
      </c>
      <c r="X279" s="140">
        <v>0</v>
      </c>
      <c r="Y279" s="140">
        <v>0</v>
      </c>
      <c r="Z279" s="140">
        <v>0</v>
      </c>
      <c r="AB279" s="139">
        <f t="shared" si="17"/>
        <v>0</v>
      </c>
    </row>
    <row r="280" spans="1:28" x14ac:dyDescent="0.2">
      <c r="A280" s="127" t="str">
        <f>'Scenario List'!$A$8</f>
        <v>6- WRAP PRM</v>
      </c>
      <c r="B280" s="128" t="s">
        <v>18</v>
      </c>
      <c r="D280" s="140">
        <v>0.66981705273056502</v>
      </c>
      <c r="E280" s="140">
        <v>0.82198038317033595</v>
      </c>
      <c r="F280" s="140">
        <v>0.94768333277364358</v>
      </c>
      <c r="G280" s="140">
        <v>1.1018681922279647</v>
      </c>
      <c r="H280" s="140">
        <v>1.1852199599200328</v>
      </c>
      <c r="I280" s="140">
        <v>1.254791575948599</v>
      </c>
      <c r="J280" s="140">
        <v>1.248164800613857</v>
      </c>
      <c r="K280" s="140">
        <v>1.2281380441136251</v>
      </c>
      <c r="L280" s="140">
        <v>1.3416980261548943</v>
      </c>
      <c r="M280" s="140">
        <v>1.401383079901672</v>
      </c>
      <c r="N280" s="140">
        <v>1.3269243207819343</v>
      </c>
      <c r="O280" s="140">
        <v>1.3589079799305033</v>
      </c>
      <c r="P280" s="140">
        <v>1.3275737429462175</v>
      </c>
      <c r="Q280" s="140">
        <v>1.3414345403748325</v>
      </c>
      <c r="R280" s="140">
        <v>1.2051092582160905</v>
      </c>
      <c r="S280" s="140">
        <v>1.0678375865705334</v>
      </c>
      <c r="T280" s="140">
        <v>1.0282366563361514</v>
      </c>
      <c r="U280" s="140">
        <v>1.0346169031242383</v>
      </c>
      <c r="V280" s="140">
        <v>0.89245189239712985</v>
      </c>
      <c r="W280" s="140">
        <v>0.94107227229548585</v>
      </c>
      <c r="X280" s="140">
        <v>0.53056385642977588</v>
      </c>
      <c r="Y280" s="140">
        <v>0.58991963796846747</v>
      </c>
      <c r="Z280" s="140">
        <v>0.36378125221886748</v>
      </c>
      <c r="AB280" s="139">
        <f>SUM(C280:Z280)</f>
        <v>24.209174347145417</v>
      </c>
    </row>
    <row r="281" spans="1:28" x14ac:dyDescent="0.2">
      <c r="A281" s="127" t="str">
        <f>'Scenario List'!$A$8</f>
        <v>6- WRAP PRM</v>
      </c>
      <c r="B281" s="128" t="s">
        <v>19</v>
      </c>
      <c r="D281" s="140">
        <v>0.62054524630661467</v>
      </c>
      <c r="E281" s="140">
        <v>0.7805921529158667</v>
      </c>
      <c r="F281" s="140">
        <v>0.92067228712377625</v>
      </c>
      <c r="G281" s="140">
        <v>1.1003317253505056</v>
      </c>
      <c r="H281" s="140">
        <v>1.2082647652253571</v>
      </c>
      <c r="I281" s="140">
        <v>1.3045313288370783</v>
      </c>
      <c r="J281" s="140">
        <v>1.3222972797493391</v>
      </c>
      <c r="K281" s="140">
        <v>1.3254800515398157</v>
      </c>
      <c r="L281" s="140">
        <v>1.4551863732911734</v>
      </c>
      <c r="M281" s="140">
        <v>1.5408015462337747</v>
      </c>
      <c r="N281" s="140">
        <v>1.4829539725711225</v>
      </c>
      <c r="O281" s="140">
        <v>1.5216825408369932</v>
      </c>
      <c r="P281" s="140">
        <v>1.4838914616272323</v>
      </c>
      <c r="Q281" s="140">
        <v>1.4839621573540143</v>
      </c>
      <c r="R281" s="140">
        <v>1.3187389192667567</v>
      </c>
      <c r="S281" s="140">
        <v>1.1618171556464603</v>
      </c>
      <c r="T281" s="140">
        <v>1.121184679096892</v>
      </c>
      <c r="U281" s="140">
        <v>1.1002172703852331</v>
      </c>
      <c r="V281" s="140">
        <v>0.92675964103922226</v>
      </c>
      <c r="W281" s="140">
        <v>0.96304413171291969</v>
      </c>
      <c r="X281" s="140">
        <v>0.58551642958275352</v>
      </c>
      <c r="Y281" s="140">
        <v>0.64520477697043788</v>
      </c>
      <c r="Z281" s="140">
        <v>0.41068971709390567</v>
      </c>
      <c r="AB281" s="139">
        <f t="shared" si="17"/>
        <v>25.784365609757245</v>
      </c>
    </row>
    <row r="282" spans="1:28" x14ac:dyDescent="0.2">
      <c r="A282" s="127" t="str">
        <f>'Scenario List'!$A$8</f>
        <v>6- WRAP PRM</v>
      </c>
      <c r="B282" s="128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B282" s="139"/>
    </row>
    <row r="283" spans="1:28" x14ac:dyDescent="0.2">
      <c r="A283" s="127" t="str">
        <f>'Scenario List'!$A$8</f>
        <v>6- WRAP PRM</v>
      </c>
      <c r="B283" s="131" t="s">
        <v>31</v>
      </c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B283" s="139"/>
    </row>
    <row r="284" spans="1:28" x14ac:dyDescent="0.2">
      <c r="A284" s="127" t="str">
        <f>'Scenario List'!$A$8</f>
        <v>6- WRAP PRM</v>
      </c>
      <c r="B284" s="128" t="s">
        <v>1</v>
      </c>
      <c r="D284" s="140">
        <v>20.277220397006218</v>
      </c>
      <c r="E284" s="140">
        <v>44.167982168099542</v>
      </c>
      <c r="F284" s="140">
        <v>71.471116283347214</v>
      </c>
      <c r="G284" s="140">
        <v>100.88030631275801</v>
      </c>
      <c r="H284" s="140">
        <v>132.94125510869677</v>
      </c>
      <c r="I284" s="140">
        <v>167.79568974904888</v>
      </c>
      <c r="J284" s="140">
        <v>204.26166679556502</v>
      </c>
      <c r="K284" s="140">
        <v>239.65778964745064</v>
      </c>
      <c r="L284" s="140">
        <v>275.17690732893783</v>
      </c>
      <c r="M284" s="140">
        <v>309.05086891981699</v>
      </c>
      <c r="N284" s="140">
        <v>339.47017535346663</v>
      </c>
      <c r="O284" s="140">
        <v>366.63889283500765</v>
      </c>
      <c r="P284" s="140">
        <v>390.79881262188957</v>
      </c>
      <c r="Q284" s="140">
        <v>412.33076007139789</v>
      </c>
      <c r="R284" s="140">
        <v>431.69192797170587</v>
      </c>
      <c r="S284" s="140">
        <v>447.11543391745244</v>
      </c>
      <c r="T284" s="140">
        <v>461.19274199558947</v>
      </c>
      <c r="U284" s="140">
        <v>473.73928195350544</v>
      </c>
      <c r="V284" s="140">
        <v>485.65865875804866</v>
      </c>
      <c r="W284" s="140">
        <v>496.95037596722119</v>
      </c>
      <c r="X284" s="140">
        <v>503.3606091391386</v>
      </c>
      <c r="Y284" s="140">
        <v>509.63562052660734</v>
      </c>
      <c r="Z284" s="140">
        <v>514.43234717195992</v>
      </c>
      <c r="AB284" s="139">
        <f>Z284/8.76</f>
        <v>58.725153786753417</v>
      </c>
    </row>
    <row r="285" spans="1:28" x14ac:dyDescent="0.2">
      <c r="A285" s="127" t="str">
        <f>'Scenario List'!$A$8</f>
        <v>6- WRAP PRM</v>
      </c>
      <c r="B285" s="128" t="s">
        <v>2</v>
      </c>
      <c r="D285" s="140">
        <v>7.9264070219969867</v>
      </c>
      <c r="E285" s="140">
        <v>17.163862831433324</v>
      </c>
      <c r="F285" s="140">
        <v>27.678059623363779</v>
      </c>
      <c r="G285" s="140">
        <v>38.905250300602482</v>
      </c>
      <c r="H285" s="140">
        <v>51.069302094238964</v>
      </c>
      <c r="I285" s="140">
        <v>64.042560814275973</v>
      </c>
      <c r="J285" s="140">
        <v>77.434114653644826</v>
      </c>
      <c r="K285" s="140">
        <v>90.424111650796846</v>
      </c>
      <c r="L285" s="140">
        <v>103.59182665128128</v>
      </c>
      <c r="M285" s="140">
        <v>116.41311504137899</v>
      </c>
      <c r="N285" s="140">
        <v>127.45501181895855</v>
      </c>
      <c r="O285" s="140">
        <v>137.66112664257008</v>
      </c>
      <c r="P285" s="140">
        <v>147.13027358011431</v>
      </c>
      <c r="Q285" s="140">
        <v>155.96422054312893</v>
      </c>
      <c r="R285" s="140">
        <v>164.20634199121662</v>
      </c>
      <c r="S285" s="140">
        <v>170.9371717080198</v>
      </c>
      <c r="T285" s="140">
        <v>177.21501087857283</v>
      </c>
      <c r="U285" s="140">
        <v>182.89887154715365</v>
      </c>
      <c r="V285" s="140">
        <v>188.2625914694174</v>
      </c>
      <c r="W285" s="140">
        <v>193.39285031638528</v>
      </c>
      <c r="X285" s="140">
        <v>196.04126522570724</v>
      </c>
      <c r="Y285" s="140">
        <v>198.59950246313048</v>
      </c>
      <c r="Z285" s="140">
        <v>200.72028079814183</v>
      </c>
      <c r="AB285" s="139">
        <f>Z285/8.76</f>
        <v>22.91327406371482</v>
      </c>
    </row>
    <row r="286" spans="1:28" x14ac:dyDescent="0.2">
      <c r="A286" s="127" t="str">
        <f>'Scenario List'!$A$8</f>
        <v>6- WRAP PRM</v>
      </c>
      <c r="B286" s="128" t="s">
        <v>4</v>
      </c>
      <c r="D286" s="140">
        <v>28.203627419003205</v>
      </c>
      <c r="E286" s="140">
        <v>61.331844999532862</v>
      </c>
      <c r="F286" s="140">
        <v>99.149175906710994</v>
      </c>
      <c r="G286" s="140">
        <v>139.78555661336048</v>
      </c>
      <c r="H286" s="140">
        <v>184.01055720293573</v>
      </c>
      <c r="I286" s="140">
        <v>231.83825056332483</v>
      </c>
      <c r="J286" s="140">
        <v>281.69578144920985</v>
      </c>
      <c r="K286" s="140">
        <v>330.08190129824749</v>
      </c>
      <c r="L286" s="140">
        <v>378.76873398021911</v>
      </c>
      <c r="M286" s="140">
        <v>425.46398396119599</v>
      </c>
      <c r="N286" s="140">
        <v>466.92518717242518</v>
      </c>
      <c r="O286" s="140">
        <v>504.30001947757773</v>
      </c>
      <c r="P286" s="140">
        <v>537.92908620200387</v>
      </c>
      <c r="Q286" s="140">
        <v>568.29498061452682</v>
      </c>
      <c r="R286" s="140">
        <v>595.89826996292254</v>
      </c>
      <c r="S286" s="140">
        <v>618.05260562547221</v>
      </c>
      <c r="T286" s="140">
        <v>638.40775287416227</v>
      </c>
      <c r="U286" s="140">
        <v>656.63815350065909</v>
      </c>
      <c r="V286" s="140">
        <v>673.92125022746609</v>
      </c>
      <c r="W286" s="140">
        <v>690.34322628360644</v>
      </c>
      <c r="X286" s="140">
        <v>699.40187436484587</v>
      </c>
      <c r="Y286" s="140">
        <v>708.23512298973787</v>
      </c>
      <c r="Z286" s="140">
        <v>715.15262797010178</v>
      </c>
      <c r="AB286" s="139">
        <f>Z286/8.76</f>
        <v>81.638427850468247</v>
      </c>
    </row>
    <row r="287" spans="1:28" x14ac:dyDescent="0.2">
      <c r="A287" s="127" t="str">
        <f>'Scenario List'!$A$8</f>
        <v>6- WRAP PRM</v>
      </c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B287" s="139"/>
    </row>
    <row r="288" spans="1:28" x14ac:dyDescent="0.2">
      <c r="A288" s="127" t="str">
        <f>'Scenario List'!$A$8</f>
        <v>6- WRAP PRM</v>
      </c>
      <c r="B288" s="141" t="s">
        <v>32</v>
      </c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B288" s="139"/>
    </row>
    <row r="289" spans="1:28" x14ac:dyDescent="0.2">
      <c r="A289" s="127" t="str">
        <f>'Scenario List'!$A$8</f>
        <v>6- WRAP PRM</v>
      </c>
      <c r="B289" s="128" t="s">
        <v>1</v>
      </c>
      <c r="D289" s="140">
        <v>2.4404094348712708</v>
      </c>
      <c r="E289" s="140">
        <v>5.3176455799823632</v>
      </c>
      <c r="F289" s="140">
        <v>8.6027681390283366</v>
      </c>
      <c r="G289" s="140">
        <v>12.143748178384708</v>
      </c>
      <c r="H289" s="140">
        <v>16.004379043461302</v>
      </c>
      <c r="I289" s="140">
        <v>20.208177856923168</v>
      </c>
      <c r="J289" s="140">
        <v>24.593907848510405</v>
      </c>
      <c r="K289" s="140">
        <v>28.857769751316393</v>
      </c>
      <c r="L289" s="140">
        <v>33.137536367741156</v>
      </c>
      <c r="M289" s="140">
        <v>37.232088766905477</v>
      </c>
      <c r="N289" s="140">
        <v>40.887116349296448</v>
      </c>
      <c r="O289" s="140">
        <v>44.163449353748099</v>
      </c>
      <c r="P289" s="140">
        <v>47.078013666304258</v>
      </c>
      <c r="Q289" s="140">
        <v>49.693342058142804</v>
      </c>
      <c r="R289" s="140">
        <v>52.01428016941589</v>
      </c>
      <c r="S289" s="140">
        <v>53.8780451491536</v>
      </c>
      <c r="T289" s="140">
        <v>55.580097448523006</v>
      </c>
      <c r="U289" s="140">
        <v>57.118163916453341</v>
      </c>
      <c r="V289" s="140">
        <v>58.541217023153919</v>
      </c>
      <c r="W289" s="140">
        <v>59.909126170592167</v>
      </c>
      <c r="X289" s="140">
        <v>60.689053140307188</v>
      </c>
      <c r="Y289" s="140">
        <v>61.475628507522593</v>
      </c>
      <c r="Z289" s="140">
        <v>62.039538088175895</v>
      </c>
      <c r="AB289" s="139">
        <f>Z289</f>
        <v>62.039538088175895</v>
      </c>
    </row>
    <row r="290" spans="1:28" x14ac:dyDescent="0.2">
      <c r="A290" s="127" t="str">
        <f>'Scenario List'!$A$8</f>
        <v>6- WRAP PRM</v>
      </c>
      <c r="B290" s="128" t="s">
        <v>2</v>
      </c>
      <c r="D290" s="140">
        <v>0.95396105099135231</v>
      </c>
      <c r="E290" s="140">
        <v>2.0664593409231173</v>
      </c>
      <c r="F290" s="140">
        <v>3.3315266622396349</v>
      </c>
      <c r="G290" s="140">
        <v>4.6833279927084499</v>
      </c>
      <c r="H290" s="140">
        <v>6.1480724514971445</v>
      </c>
      <c r="I290" s="140">
        <v>7.7128528228779674</v>
      </c>
      <c r="J290" s="140">
        <v>9.3233718788202857</v>
      </c>
      <c r="K290" s="140">
        <v>10.888184347459116</v>
      </c>
      <c r="L290" s="140">
        <v>12.474803777608184</v>
      </c>
      <c r="M290" s="140">
        <v>14.024563166580625</v>
      </c>
      <c r="N290" s="140">
        <v>15.351180386072453</v>
      </c>
      <c r="O290" s="140">
        <v>16.581956560715842</v>
      </c>
      <c r="P290" s="140">
        <v>17.724212066717342</v>
      </c>
      <c r="Q290" s="140">
        <v>18.796519956307158</v>
      </c>
      <c r="R290" s="140">
        <v>19.785115552324768</v>
      </c>
      <c r="S290" s="140">
        <v>20.598172096769179</v>
      </c>
      <c r="T290" s="140">
        <v>21.356857289975167</v>
      </c>
      <c r="U290" s="140">
        <v>22.051892513718041</v>
      </c>
      <c r="V290" s="140">
        <v>22.693142654423806</v>
      </c>
      <c r="W290" s="140">
        <v>23.314192382981481</v>
      </c>
      <c r="X290" s="140">
        <v>23.636253109522297</v>
      </c>
      <c r="Y290" s="140">
        <v>23.956389120891153</v>
      </c>
      <c r="Z290" s="140">
        <v>24.20647452303993</v>
      </c>
      <c r="AB290" s="139">
        <f>Z290</f>
        <v>24.20647452303993</v>
      </c>
    </row>
    <row r="291" spans="1:28" x14ac:dyDescent="0.2">
      <c r="A291" s="127" t="str">
        <f>'Scenario List'!$A$8</f>
        <v>6- WRAP PRM</v>
      </c>
      <c r="B291" s="128" t="s">
        <v>4</v>
      </c>
      <c r="D291" s="140">
        <v>3.3943704858626234</v>
      </c>
      <c r="E291" s="140">
        <v>7.3841049209054805</v>
      </c>
      <c r="F291" s="140">
        <v>11.934294801267971</v>
      </c>
      <c r="G291" s="140">
        <v>16.827076171093157</v>
      </c>
      <c r="H291" s="140">
        <v>22.152451494958449</v>
      </c>
      <c r="I291" s="140">
        <v>27.921030679801135</v>
      </c>
      <c r="J291" s="140">
        <v>33.917279727330694</v>
      </c>
      <c r="K291" s="140">
        <v>39.745954098775513</v>
      </c>
      <c r="L291" s="140">
        <v>45.612340145349336</v>
      </c>
      <c r="M291" s="140">
        <v>51.256651933486104</v>
      </c>
      <c r="N291" s="140">
        <v>56.238296735368905</v>
      </c>
      <c r="O291" s="140">
        <v>60.745405914463944</v>
      </c>
      <c r="P291" s="140">
        <v>64.802225733021601</v>
      </c>
      <c r="Q291" s="140">
        <v>68.489862014449955</v>
      </c>
      <c r="R291" s="140">
        <v>71.799395721740666</v>
      </c>
      <c r="S291" s="140">
        <v>74.476217245922783</v>
      </c>
      <c r="T291" s="140">
        <v>76.936954738498173</v>
      </c>
      <c r="U291" s="140">
        <v>79.170056430171385</v>
      </c>
      <c r="V291" s="140">
        <v>81.234359677577729</v>
      </c>
      <c r="W291" s="140">
        <v>83.223318553573648</v>
      </c>
      <c r="X291" s="140">
        <v>84.325306249829481</v>
      </c>
      <c r="Y291" s="140">
        <v>85.432017628413746</v>
      </c>
      <c r="Z291" s="140">
        <v>86.246012611215832</v>
      </c>
      <c r="AB291" s="139">
        <f>Z291</f>
        <v>86.246012611215832</v>
      </c>
    </row>
    <row r="294" spans="1:28" x14ac:dyDescent="0.2">
      <c r="A294" s="127" t="str">
        <f>'Scenario List'!$A$9</f>
        <v>7- WRAP PRM No QCC Changes</v>
      </c>
      <c r="B294" s="131" t="s">
        <v>11</v>
      </c>
    </row>
    <row r="295" spans="1:28" x14ac:dyDescent="0.2">
      <c r="A295" s="127" t="str">
        <f>'Scenario List'!$A$9</f>
        <v>7- WRAP PRM No QCC Changes</v>
      </c>
      <c r="B295" s="128" t="s">
        <v>12</v>
      </c>
      <c r="D295" s="140">
        <v>0</v>
      </c>
      <c r="E295" s="140">
        <v>0</v>
      </c>
      <c r="F295" s="140">
        <v>0</v>
      </c>
      <c r="G295" s="140">
        <v>0</v>
      </c>
      <c r="H295" s="140">
        <v>0</v>
      </c>
      <c r="I295" s="140">
        <v>0</v>
      </c>
      <c r="J295" s="140">
        <v>0</v>
      </c>
      <c r="K295" s="140">
        <v>0</v>
      </c>
      <c r="L295" s="140">
        <v>0</v>
      </c>
      <c r="M295" s="140">
        <v>0</v>
      </c>
      <c r="N295" s="140">
        <v>0</v>
      </c>
      <c r="O295" s="140">
        <v>0</v>
      </c>
      <c r="P295" s="140">
        <v>0</v>
      </c>
      <c r="Q295" s="140">
        <v>0</v>
      </c>
      <c r="R295" s="140">
        <v>0</v>
      </c>
      <c r="S295" s="140">
        <v>0</v>
      </c>
      <c r="T295" s="140">
        <v>0</v>
      </c>
      <c r="U295" s="140">
        <v>0</v>
      </c>
      <c r="V295" s="140">
        <v>0</v>
      </c>
      <c r="W295" s="140">
        <v>0</v>
      </c>
      <c r="X295" s="140">
        <v>0</v>
      </c>
      <c r="Y295" s="140">
        <v>0</v>
      </c>
      <c r="Z295" s="140">
        <v>0</v>
      </c>
      <c r="AB295" s="139">
        <f>SUM(C295:Z295)</f>
        <v>0</v>
      </c>
    </row>
    <row r="296" spans="1:28" x14ac:dyDescent="0.2">
      <c r="A296" s="127" t="str">
        <f>'Scenario List'!$A$9</f>
        <v>7- WRAP PRM No QCC Changes</v>
      </c>
      <c r="B296" s="128" t="s">
        <v>13</v>
      </c>
      <c r="D296" s="140">
        <v>0</v>
      </c>
      <c r="E296" s="140">
        <v>0</v>
      </c>
      <c r="F296" s="140">
        <v>0</v>
      </c>
      <c r="G296" s="140">
        <v>0</v>
      </c>
      <c r="H296" s="140">
        <v>0</v>
      </c>
      <c r="I296" s="140">
        <v>0</v>
      </c>
      <c r="J296" s="140">
        <v>0</v>
      </c>
      <c r="K296" s="140">
        <v>0</v>
      </c>
      <c r="L296" s="140">
        <v>0</v>
      </c>
      <c r="M296" s="140">
        <v>0</v>
      </c>
      <c r="N296" s="140">
        <v>0</v>
      </c>
      <c r="O296" s="140">
        <v>0</v>
      </c>
      <c r="P296" s="140">
        <v>0</v>
      </c>
      <c r="Q296" s="140">
        <v>0</v>
      </c>
      <c r="R296" s="140">
        <v>0</v>
      </c>
      <c r="S296" s="140">
        <v>0</v>
      </c>
      <c r="T296" s="140">
        <v>0</v>
      </c>
      <c r="U296" s="140">
        <v>0</v>
      </c>
      <c r="V296" s="140">
        <v>0</v>
      </c>
      <c r="W296" s="140">
        <v>0</v>
      </c>
      <c r="X296" s="140">
        <v>0</v>
      </c>
      <c r="Y296" s="140">
        <v>0</v>
      </c>
      <c r="Z296" s="140">
        <v>0</v>
      </c>
      <c r="AB296" s="139">
        <f t="shared" ref="AB296:AB303" si="18">SUM(C296:Z296)</f>
        <v>0</v>
      </c>
    </row>
    <row r="297" spans="1:28" x14ac:dyDescent="0.2">
      <c r="A297" s="127" t="str">
        <f>'Scenario List'!$A$9</f>
        <v>7- WRAP PRM No QCC Changes</v>
      </c>
      <c r="B297" s="128" t="s">
        <v>14</v>
      </c>
      <c r="D297" s="140">
        <v>0</v>
      </c>
      <c r="E297" s="140">
        <v>0</v>
      </c>
      <c r="F297" s="140">
        <v>0</v>
      </c>
      <c r="G297" s="140">
        <v>0</v>
      </c>
      <c r="H297" s="140">
        <v>0</v>
      </c>
      <c r="I297" s="140">
        <v>0</v>
      </c>
      <c r="J297" s="140">
        <v>0</v>
      </c>
      <c r="K297" s="140">
        <v>0</v>
      </c>
      <c r="L297" s="140">
        <v>0</v>
      </c>
      <c r="M297" s="140">
        <v>0</v>
      </c>
      <c r="N297" s="140">
        <v>0</v>
      </c>
      <c r="O297" s="140">
        <v>0</v>
      </c>
      <c r="P297" s="140">
        <v>0</v>
      </c>
      <c r="Q297" s="140">
        <v>0</v>
      </c>
      <c r="R297" s="140">
        <v>0</v>
      </c>
      <c r="S297" s="140">
        <v>0</v>
      </c>
      <c r="T297" s="140">
        <v>0</v>
      </c>
      <c r="U297" s="140">
        <v>0</v>
      </c>
      <c r="V297" s="140">
        <v>0</v>
      </c>
      <c r="W297" s="140">
        <v>0</v>
      </c>
      <c r="X297" s="140">
        <v>0</v>
      </c>
      <c r="Y297" s="140">
        <v>0</v>
      </c>
      <c r="Z297" s="140">
        <v>0</v>
      </c>
      <c r="AB297" s="139">
        <f t="shared" si="18"/>
        <v>0</v>
      </c>
    </row>
    <row r="298" spans="1:28" x14ac:dyDescent="0.2">
      <c r="A298" s="127" t="str">
        <f>'Scenario List'!$A$9</f>
        <v>7- WRAP PRM No QCC Changes</v>
      </c>
      <c r="B298" s="128" t="s">
        <v>15</v>
      </c>
      <c r="D298" s="140">
        <v>0</v>
      </c>
      <c r="E298" s="140">
        <v>0</v>
      </c>
      <c r="F298" s="140">
        <v>0</v>
      </c>
      <c r="G298" s="140">
        <v>0</v>
      </c>
      <c r="H298" s="140">
        <v>0</v>
      </c>
      <c r="I298" s="140">
        <v>0</v>
      </c>
      <c r="J298" s="140">
        <v>0</v>
      </c>
      <c r="K298" s="140">
        <v>0</v>
      </c>
      <c r="L298" s="140">
        <v>0</v>
      </c>
      <c r="M298" s="140">
        <v>0</v>
      </c>
      <c r="N298" s="140">
        <v>0</v>
      </c>
      <c r="O298" s="140">
        <v>0</v>
      </c>
      <c r="P298" s="140">
        <v>0</v>
      </c>
      <c r="Q298" s="140">
        <v>0</v>
      </c>
      <c r="R298" s="140">
        <v>0</v>
      </c>
      <c r="S298" s="140">
        <v>0</v>
      </c>
      <c r="T298" s="140">
        <v>0</v>
      </c>
      <c r="U298" s="140">
        <v>0</v>
      </c>
      <c r="V298" s="140">
        <v>0</v>
      </c>
      <c r="W298" s="140">
        <v>0</v>
      </c>
      <c r="X298" s="140">
        <v>0</v>
      </c>
      <c r="Y298" s="140">
        <v>0</v>
      </c>
      <c r="Z298" s="140">
        <v>0</v>
      </c>
      <c r="AB298" s="139">
        <f t="shared" si="18"/>
        <v>0</v>
      </c>
    </row>
    <row r="299" spans="1:28" x14ac:dyDescent="0.2">
      <c r="A299" s="127" t="str">
        <f>'Scenario List'!$A$9</f>
        <v>7- WRAP PRM No QCC Changes</v>
      </c>
      <c r="B299" s="128" t="s">
        <v>16</v>
      </c>
      <c r="D299" s="140">
        <v>0</v>
      </c>
      <c r="E299" s="140">
        <v>0</v>
      </c>
      <c r="F299" s="140">
        <v>0</v>
      </c>
      <c r="G299" s="140">
        <v>0</v>
      </c>
      <c r="H299" s="140">
        <v>0</v>
      </c>
      <c r="I299" s="140">
        <v>0</v>
      </c>
      <c r="J299" s="140">
        <v>0</v>
      </c>
      <c r="K299" s="140">
        <v>0</v>
      </c>
      <c r="L299" s="140">
        <v>0</v>
      </c>
      <c r="M299" s="140">
        <v>0</v>
      </c>
      <c r="N299" s="140">
        <v>0</v>
      </c>
      <c r="O299" s="140">
        <v>0</v>
      </c>
      <c r="P299" s="140">
        <v>0</v>
      </c>
      <c r="Q299" s="140">
        <v>0</v>
      </c>
      <c r="R299" s="140">
        <v>0</v>
      </c>
      <c r="S299" s="140">
        <v>0</v>
      </c>
      <c r="T299" s="140">
        <v>0</v>
      </c>
      <c r="U299" s="140">
        <v>0</v>
      </c>
      <c r="V299" s="140">
        <v>0</v>
      </c>
      <c r="W299" s="140">
        <v>0</v>
      </c>
      <c r="X299" s="140">
        <v>0</v>
      </c>
      <c r="Y299" s="140">
        <v>0</v>
      </c>
      <c r="Z299" s="140">
        <v>0</v>
      </c>
      <c r="AB299" s="139">
        <f t="shared" si="18"/>
        <v>0</v>
      </c>
    </row>
    <row r="300" spans="1:28" x14ac:dyDescent="0.2">
      <c r="A300" s="127" t="str">
        <f>'Scenario List'!$A$9</f>
        <v>7- WRAP PRM No QCC Changes</v>
      </c>
      <c r="B300" s="128" t="s">
        <v>85</v>
      </c>
      <c r="D300" s="140">
        <v>0</v>
      </c>
      <c r="E300" s="140">
        <v>0</v>
      </c>
      <c r="F300" s="140">
        <v>0</v>
      </c>
      <c r="G300" s="140">
        <v>0</v>
      </c>
      <c r="H300" s="140">
        <v>0</v>
      </c>
      <c r="I300" s="140">
        <v>0</v>
      </c>
      <c r="J300" s="140">
        <v>0</v>
      </c>
      <c r="K300" s="140">
        <v>0</v>
      </c>
      <c r="L300" s="140">
        <v>0</v>
      </c>
      <c r="M300" s="140">
        <v>0</v>
      </c>
      <c r="N300" s="140">
        <v>0</v>
      </c>
      <c r="O300" s="140">
        <v>0</v>
      </c>
      <c r="P300" s="140">
        <v>0</v>
      </c>
      <c r="Q300" s="140">
        <v>0</v>
      </c>
      <c r="R300" s="140">
        <v>0</v>
      </c>
      <c r="S300" s="140">
        <v>0</v>
      </c>
      <c r="T300" s="140">
        <v>0</v>
      </c>
      <c r="U300" s="140">
        <v>0</v>
      </c>
      <c r="V300" s="140">
        <v>0</v>
      </c>
      <c r="W300" s="140">
        <v>0</v>
      </c>
      <c r="X300" s="140">
        <v>0</v>
      </c>
      <c r="Y300" s="140">
        <v>0</v>
      </c>
      <c r="Z300" s="140">
        <v>0</v>
      </c>
      <c r="AB300" s="139">
        <f t="shared" si="18"/>
        <v>0</v>
      </c>
    </row>
    <row r="301" spans="1:28" x14ac:dyDescent="0.2">
      <c r="A301" s="127" t="str">
        <f>'Scenario List'!$A$9</f>
        <v>7- WRAP PRM No QCC Changes</v>
      </c>
      <c r="B301" s="128" t="s">
        <v>86</v>
      </c>
      <c r="D301" s="140">
        <v>0</v>
      </c>
      <c r="E301" s="140">
        <v>0</v>
      </c>
      <c r="F301" s="140">
        <v>0</v>
      </c>
      <c r="G301" s="140">
        <v>0</v>
      </c>
      <c r="H301" s="140">
        <v>0</v>
      </c>
      <c r="I301" s="140">
        <v>0</v>
      </c>
      <c r="J301" s="140">
        <v>0</v>
      </c>
      <c r="K301" s="140">
        <v>0</v>
      </c>
      <c r="L301" s="140">
        <v>0</v>
      </c>
      <c r="M301" s="140">
        <v>0</v>
      </c>
      <c r="N301" s="140">
        <v>0</v>
      </c>
      <c r="O301" s="140">
        <v>0</v>
      </c>
      <c r="P301" s="140">
        <v>0</v>
      </c>
      <c r="Q301" s="140">
        <v>0</v>
      </c>
      <c r="R301" s="140">
        <v>0</v>
      </c>
      <c r="S301" s="140">
        <v>0</v>
      </c>
      <c r="T301" s="140">
        <v>0</v>
      </c>
      <c r="U301" s="140">
        <v>0</v>
      </c>
      <c r="V301" s="140">
        <v>0</v>
      </c>
      <c r="W301" s="140">
        <v>0</v>
      </c>
      <c r="X301" s="140">
        <v>0</v>
      </c>
      <c r="Y301" s="140">
        <v>0</v>
      </c>
      <c r="Z301" s="140">
        <v>0</v>
      </c>
      <c r="AB301" s="139">
        <f t="shared" si="18"/>
        <v>0</v>
      </c>
    </row>
    <row r="302" spans="1:28" x14ac:dyDescent="0.2">
      <c r="A302" s="127" t="str">
        <f>'Scenario List'!$A$9</f>
        <v>7- WRAP PRM No QCC Changes</v>
      </c>
      <c r="B302" s="128" t="s">
        <v>87</v>
      </c>
      <c r="D302" s="140">
        <v>0</v>
      </c>
      <c r="E302" s="140">
        <v>0</v>
      </c>
      <c r="F302" s="140">
        <v>0</v>
      </c>
      <c r="G302" s="140">
        <v>0</v>
      </c>
      <c r="H302" s="140">
        <v>0</v>
      </c>
      <c r="I302" s="140">
        <v>0</v>
      </c>
      <c r="J302" s="140">
        <v>0</v>
      </c>
      <c r="K302" s="140">
        <v>0</v>
      </c>
      <c r="L302" s="140">
        <v>0</v>
      </c>
      <c r="M302" s="140">
        <v>0</v>
      </c>
      <c r="N302" s="140">
        <v>0</v>
      </c>
      <c r="O302" s="140">
        <v>0</v>
      </c>
      <c r="P302" s="140">
        <v>0</v>
      </c>
      <c r="Q302" s="140">
        <v>10</v>
      </c>
      <c r="R302" s="140">
        <v>0</v>
      </c>
      <c r="S302" s="140">
        <v>0</v>
      </c>
      <c r="T302" s="140">
        <v>0</v>
      </c>
      <c r="U302" s="140">
        <v>0</v>
      </c>
      <c r="V302" s="140">
        <v>0</v>
      </c>
      <c r="W302" s="140">
        <v>0</v>
      </c>
      <c r="X302" s="140">
        <v>0</v>
      </c>
      <c r="Y302" s="140">
        <v>0</v>
      </c>
      <c r="Z302" s="140">
        <v>0</v>
      </c>
      <c r="AB302" s="139">
        <f t="shared" si="18"/>
        <v>10</v>
      </c>
    </row>
    <row r="303" spans="1:28" x14ac:dyDescent="0.2">
      <c r="A303" s="127" t="str">
        <f>'Scenario List'!$A$9</f>
        <v>7- WRAP PRM No QCC Changes</v>
      </c>
      <c r="B303" s="128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B303" s="139">
        <f t="shared" si="18"/>
        <v>0</v>
      </c>
    </row>
    <row r="304" spans="1:28" x14ac:dyDescent="0.2">
      <c r="A304" s="127" t="str">
        <f>'Scenario List'!$A$9</f>
        <v>7- WRAP PRM No QCC Changes</v>
      </c>
      <c r="B304" s="128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B304" s="139"/>
    </row>
    <row r="305" spans="1:28" x14ac:dyDescent="0.2">
      <c r="A305" s="127" t="str">
        <f>'Scenario List'!$A$9</f>
        <v>7- WRAP PRM No QCC Changes</v>
      </c>
      <c r="B305" s="128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B305" s="139"/>
    </row>
    <row r="306" spans="1:28" x14ac:dyDescent="0.2">
      <c r="A306" s="127" t="str">
        <f>'Scenario List'!$A$9</f>
        <v>7- WRAP PRM No QCC Changes</v>
      </c>
      <c r="B306" s="131" t="s">
        <v>9</v>
      </c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  <c r="AB306" s="139"/>
    </row>
    <row r="307" spans="1:28" x14ac:dyDescent="0.2">
      <c r="A307" s="127" t="str">
        <f>'Scenario List'!$A$9</f>
        <v>7- WRAP PRM No QCC Changes</v>
      </c>
      <c r="B307" s="128" t="s">
        <v>12</v>
      </c>
      <c r="D307" s="140">
        <v>0</v>
      </c>
      <c r="E307" s="140">
        <v>0</v>
      </c>
      <c r="F307" s="140">
        <v>0</v>
      </c>
      <c r="G307" s="140">
        <v>0</v>
      </c>
      <c r="H307" s="140">
        <v>0</v>
      </c>
      <c r="I307" s="140">
        <v>0</v>
      </c>
      <c r="J307" s="140">
        <v>0</v>
      </c>
      <c r="K307" s="140">
        <v>0</v>
      </c>
      <c r="L307" s="140">
        <v>0</v>
      </c>
      <c r="M307" s="140">
        <v>0</v>
      </c>
      <c r="N307" s="140">
        <v>0</v>
      </c>
      <c r="O307" s="140">
        <v>0</v>
      </c>
      <c r="P307" s="140">
        <v>0</v>
      </c>
      <c r="Q307" s="140">
        <v>0</v>
      </c>
      <c r="R307" s="140">
        <v>0</v>
      </c>
      <c r="S307" s="140">
        <v>0</v>
      </c>
      <c r="T307" s="140">
        <v>0</v>
      </c>
      <c r="U307" s="140">
        <v>0</v>
      </c>
      <c r="V307" s="140">
        <v>0</v>
      </c>
      <c r="W307" s="140">
        <v>0</v>
      </c>
      <c r="X307" s="140">
        <v>0</v>
      </c>
      <c r="Y307" s="140">
        <v>0</v>
      </c>
      <c r="Z307" s="140">
        <v>0</v>
      </c>
      <c r="AB307" s="139">
        <f t="shared" ref="AB307:AB317" si="19">SUM(C307:Z307)</f>
        <v>0</v>
      </c>
    </row>
    <row r="308" spans="1:28" x14ac:dyDescent="0.2">
      <c r="A308" s="127" t="str">
        <f>'Scenario List'!$A$9</f>
        <v>7- WRAP PRM No QCC Changes</v>
      </c>
      <c r="B308" s="128" t="s">
        <v>13</v>
      </c>
      <c r="D308" s="140">
        <v>0</v>
      </c>
      <c r="E308" s="140">
        <v>0.66473348291362344</v>
      </c>
      <c r="F308" s="140">
        <v>0.68964227723279592</v>
      </c>
      <c r="G308" s="140">
        <v>0.71589898207405445</v>
      </c>
      <c r="H308" s="140">
        <v>0.74474658163446983</v>
      </c>
      <c r="I308" s="140">
        <v>0.77630089828909576</v>
      </c>
      <c r="J308" s="140">
        <v>0.80410589762092999</v>
      </c>
      <c r="K308" s="140">
        <v>0.83083714578533963</v>
      </c>
      <c r="L308" s="140">
        <v>0.86470310660026939</v>
      </c>
      <c r="M308" s="140">
        <v>0.89748888614452105</v>
      </c>
      <c r="N308" s="140">
        <v>0.92585303260081686</v>
      </c>
      <c r="O308" s="140">
        <v>0.24928505126105255</v>
      </c>
      <c r="P308" s="140">
        <v>0.23576630906236226</v>
      </c>
      <c r="Q308" s="140">
        <v>0.24612163403694734</v>
      </c>
      <c r="R308" s="140">
        <v>0.26314374492236542</v>
      </c>
      <c r="S308" s="140">
        <v>0.27667692854983728</v>
      </c>
      <c r="T308" s="140">
        <v>0.2910804420419138</v>
      </c>
      <c r="U308" s="140">
        <v>0.30164807684345846</v>
      </c>
      <c r="V308" s="140">
        <v>0</v>
      </c>
      <c r="W308" s="140">
        <v>0</v>
      </c>
      <c r="X308" s="140">
        <v>0</v>
      </c>
      <c r="Y308" s="140">
        <v>0.37343527108179947</v>
      </c>
      <c r="Z308" s="140">
        <v>0.40588791388677053</v>
      </c>
      <c r="AB308" s="139">
        <f t="shared" si="19"/>
        <v>10.557355662582422</v>
      </c>
    </row>
    <row r="309" spans="1:28" x14ac:dyDescent="0.2">
      <c r="A309" s="127" t="str">
        <f>'Scenario List'!$A$9</f>
        <v>7- WRAP PRM No QCC Changes</v>
      </c>
      <c r="B309" s="128" t="s">
        <v>14</v>
      </c>
      <c r="D309" s="140">
        <v>0</v>
      </c>
      <c r="E309" s="140">
        <v>0</v>
      </c>
      <c r="F309" s="140">
        <v>0</v>
      </c>
      <c r="G309" s="140">
        <v>0</v>
      </c>
      <c r="H309" s="140">
        <v>0</v>
      </c>
      <c r="I309" s="140">
        <v>0</v>
      </c>
      <c r="J309" s="140">
        <v>0</v>
      </c>
      <c r="K309" s="140">
        <v>0</v>
      </c>
      <c r="L309" s="140">
        <v>0</v>
      </c>
      <c r="M309" s="140">
        <v>0</v>
      </c>
      <c r="N309" s="140">
        <v>0</v>
      </c>
      <c r="O309" s="140">
        <v>0</v>
      </c>
      <c r="P309" s="140">
        <v>0</v>
      </c>
      <c r="Q309" s="140">
        <v>0</v>
      </c>
      <c r="R309" s="140">
        <v>0</v>
      </c>
      <c r="S309" s="140">
        <v>0</v>
      </c>
      <c r="T309" s="140">
        <v>0</v>
      </c>
      <c r="U309" s="140">
        <v>0</v>
      </c>
      <c r="V309" s="140">
        <v>0</v>
      </c>
      <c r="W309" s="140">
        <v>0</v>
      </c>
      <c r="X309" s="140">
        <v>0</v>
      </c>
      <c r="Y309" s="140">
        <v>0</v>
      </c>
      <c r="Z309" s="140">
        <v>0</v>
      </c>
      <c r="AB309" s="139">
        <f t="shared" si="19"/>
        <v>0</v>
      </c>
    </row>
    <row r="310" spans="1:28" x14ac:dyDescent="0.2">
      <c r="A310" s="127" t="str">
        <f>'Scenario List'!$A$9</f>
        <v>7- WRAP PRM No QCC Changes</v>
      </c>
      <c r="B310" s="128" t="s">
        <v>15</v>
      </c>
      <c r="D310" s="140">
        <v>0</v>
      </c>
      <c r="E310" s="140">
        <v>0</v>
      </c>
      <c r="F310" s="140">
        <v>0</v>
      </c>
      <c r="G310" s="140">
        <v>0</v>
      </c>
      <c r="H310" s="140">
        <v>0</v>
      </c>
      <c r="I310" s="140">
        <v>0</v>
      </c>
      <c r="J310" s="140">
        <v>0</v>
      </c>
      <c r="K310" s="140">
        <v>200</v>
      </c>
      <c r="L310" s="140">
        <v>0</v>
      </c>
      <c r="M310" s="140">
        <v>200</v>
      </c>
      <c r="N310" s="140">
        <v>0</v>
      </c>
      <c r="O310" s="140">
        <v>0</v>
      </c>
      <c r="P310" s="140">
        <v>0</v>
      </c>
      <c r="Q310" s="140">
        <v>0</v>
      </c>
      <c r="R310" s="140">
        <v>0</v>
      </c>
      <c r="S310" s="140">
        <v>0</v>
      </c>
      <c r="T310" s="140">
        <v>0</v>
      </c>
      <c r="U310" s="140">
        <v>0</v>
      </c>
      <c r="V310" s="140">
        <v>140</v>
      </c>
      <c r="W310" s="140">
        <v>105</v>
      </c>
      <c r="X310" s="140">
        <v>109.80310007367535</v>
      </c>
      <c r="Y310" s="140">
        <v>190.19689992632465</v>
      </c>
      <c r="Z310" s="140">
        <v>200</v>
      </c>
      <c r="AB310" s="139">
        <f t="shared" si="19"/>
        <v>1145</v>
      </c>
    </row>
    <row r="311" spans="1:28" x14ac:dyDescent="0.2">
      <c r="A311" s="127" t="str">
        <f>'Scenario List'!$A$9</f>
        <v>7- WRAP PRM No QCC Changes</v>
      </c>
      <c r="B311" s="128" t="s">
        <v>16</v>
      </c>
      <c r="D311" s="140">
        <v>0</v>
      </c>
      <c r="E311" s="140">
        <v>0</v>
      </c>
      <c r="F311" s="140">
        <v>0</v>
      </c>
      <c r="G311" s="140">
        <v>0</v>
      </c>
      <c r="H311" s="140">
        <v>0</v>
      </c>
      <c r="I311" s="140">
        <v>0</v>
      </c>
      <c r="J311" s="140">
        <v>0</v>
      </c>
      <c r="K311" s="140">
        <v>0</v>
      </c>
      <c r="L311" s="140">
        <v>0</v>
      </c>
      <c r="M311" s="140">
        <v>30.123172968274609</v>
      </c>
      <c r="N311" s="140">
        <v>0</v>
      </c>
      <c r="O311" s="140">
        <v>0</v>
      </c>
      <c r="P311" s="140">
        <v>0</v>
      </c>
      <c r="Q311" s="140">
        <v>0</v>
      </c>
      <c r="R311" s="140">
        <v>25</v>
      </c>
      <c r="S311" s="140">
        <v>29.686038655504788</v>
      </c>
      <c r="T311" s="140">
        <v>25</v>
      </c>
      <c r="U311" s="140">
        <v>25</v>
      </c>
      <c r="V311" s="140">
        <v>43.890547435277014</v>
      </c>
      <c r="W311" s="140">
        <v>212.27895662395488</v>
      </c>
      <c r="X311" s="140">
        <v>38.34455976292216</v>
      </c>
      <c r="Y311" s="140">
        <v>25</v>
      </c>
      <c r="Z311" s="140">
        <v>0</v>
      </c>
      <c r="AB311" s="139">
        <f t="shared" si="19"/>
        <v>454.3232754459334</v>
      </c>
    </row>
    <row r="312" spans="1:28" x14ac:dyDescent="0.2">
      <c r="A312" s="127" t="str">
        <f>'Scenario List'!$A$9</f>
        <v>7- WRAP PRM No QCC Changes</v>
      </c>
      <c r="B312" s="128" t="s">
        <v>85</v>
      </c>
      <c r="D312" s="140">
        <v>0</v>
      </c>
      <c r="E312" s="140">
        <v>0</v>
      </c>
      <c r="F312" s="140">
        <v>0</v>
      </c>
      <c r="G312" s="140">
        <v>0</v>
      </c>
      <c r="H312" s="140">
        <v>0</v>
      </c>
      <c r="I312" s="140">
        <v>0</v>
      </c>
      <c r="J312" s="140">
        <v>0</v>
      </c>
      <c r="K312" s="140">
        <v>0</v>
      </c>
      <c r="L312" s="140">
        <v>0</v>
      </c>
      <c r="M312" s="140">
        <v>0</v>
      </c>
      <c r="N312" s="140">
        <v>0</v>
      </c>
      <c r="O312" s="140">
        <v>0</v>
      </c>
      <c r="P312" s="140">
        <v>0</v>
      </c>
      <c r="Q312" s="140">
        <v>0</v>
      </c>
      <c r="R312" s="140">
        <v>0</v>
      </c>
      <c r="S312" s="140">
        <v>0</v>
      </c>
      <c r="T312" s="140">
        <v>0</v>
      </c>
      <c r="U312" s="140">
        <v>0</v>
      </c>
      <c r="V312" s="140">
        <v>0</v>
      </c>
      <c r="W312" s="140">
        <v>0</v>
      </c>
      <c r="X312" s="140">
        <v>0</v>
      </c>
      <c r="Y312" s="140">
        <v>0</v>
      </c>
      <c r="Z312" s="140">
        <v>311.5243103810534</v>
      </c>
      <c r="AB312" s="139">
        <f t="shared" si="19"/>
        <v>311.5243103810534</v>
      </c>
    </row>
    <row r="313" spans="1:28" x14ac:dyDescent="0.2">
      <c r="A313" s="127" t="str">
        <f>'Scenario List'!$A$9</f>
        <v>7- WRAP PRM No QCC Changes</v>
      </c>
      <c r="B313" s="128" t="s">
        <v>86</v>
      </c>
      <c r="D313" s="140">
        <v>0</v>
      </c>
      <c r="E313" s="140">
        <v>0</v>
      </c>
      <c r="F313" s="140">
        <v>0</v>
      </c>
      <c r="G313" s="140">
        <v>0</v>
      </c>
      <c r="H313" s="140">
        <v>0</v>
      </c>
      <c r="I313" s="140">
        <v>0</v>
      </c>
      <c r="J313" s="140">
        <v>0</v>
      </c>
      <c r="K313" s="140">
        <v>0</v>
      </c>
      <c r="L313" s="140">
        <v>0</v>
      </c>
      <c r="M313" s="140">
        <v>0</v>
      </c>
      <c r="N313" s="140">
        <v>0</v>
      </c>
      <c r="O313" s="140">
        <v>0</v>
      </c>
      <c r="P313" s="140">
        <v>0</v>
      </c>
      <c r="Q313" s="140">
        <v>0</v>
      </c>
      <c r="R313" s="140">
        <v>0</v>
      </c>
      <c r="S313" s="140">
        <v>0</v>
      </c>
      <c r="T313" s="140">
        <v>0</v>
      </c>
      <c r="U313" s="140">
        <v>0</v>
      </c>
      <c r="V313" s="140">
        <v>0</v>
      </c>
      <c r="W313" s="140">
        <v>0</v>
      </c>
      <c r="X313" s="140">
        <v>0</v>
      </c>
      <c r="Y313" s="140">
        <v>0</v>
      </c>
      <c r="Z313" s="140">
        <v>77.599999999999994</v>
      </c>
      <c r="AB313" s="139">
        <f t="shared" si="19"/>
        <v>77.599999999999994</v>
      </c>
    </row>
    <row r="314" spans="1:28" x14ac:dyDescent="0.2">
      <c r="A314" s="127" t="str">
        <f>'Scenario List'!$A$9</f>
        <v>7- WRAP PRM No QCC Changes</v>
      </c>
      <c r="B314" s="128" t="s">
        <v>87</v>
      </c>
      <c r="D314" s="140">
        <v>0</v>
      </c>
      <c r="E314" s="140">
        <v>0</v>
      </c>
      <c r="F314" s="140">
        <v>0</v>
      </c>
      <c r="G314" s="140">
        <v>0</v>
      </c>
      <c r="H314" s="140">
        <v>0</v>
      </c>
      <c r="I314" s="140">
        <v>0</v>
      </c>
      <c r="J314" s="140">
        <v>0</v>
      </c>
      <c r="K314" s="140">
        <v>0</v>
      </c>
      <c r="L314" s="140">
        <v>0</v>
      </c>
      <c r="M314" s="140">
        <v>0</v>
      </c>
      <c r="N314" s="140">
        <v>0</v>
      </c>
      <c r="O314" s="140">
        <v>0</v>
      </c>
      <c r="P314" s="140">
        <v>0</v>
      </c>
      <c r="Q314" s="140">
        <v>0</v>
      </c>
      <c r="R314" s="140">
        <v>0</v>
      </c>
      <c r="S314" s="140">
        <v>0</v>
      </c>
      <c r="T314" s="140">
        <v>0</v>
      </c>
      <c r="U314" s="140">
        <v>0</v>
      </c>
      <c r="V314" s="140">
        <v>0</v>
      </c>
      <c r="W314" s="140">
        <v>0</v>
      </c>
      <c r="X314" s="140">
        <v>0</v>
      </c>
      <c r="Y314" s="140">
        <v>0</v>
      </c>
      <c r="Z314" s="140">
        <v>0</v>
      </c>
      <c r="AB314" s="139">
        <f t="shared" si="19"/>
        <v>0</v>
      </c>
    </row>
    <row r="315" spans="1:28" x14ac:dyDescent="0.2">
      <c r="A315" s="127" t="str">
        <f>'Scenario List'!$A$9</f>
        <v>7- WRAP PRM No QCC Changes</v>
      </c>
      <c r="B315" s="128" t="s">
        <v>17</v>
      </c>
      <c r="D315" s="140">
        <v>0</v>
      </c>
      <c r="E315" s="140">
        <v>0</v>
      </c>
      <c r="F315" s="140">
        <v>6.7666466459931875</v>
      </c>
      <c r="G315" s="140">
        <v>0</v>
      </c>
      <c r="H315" s="140">
        <v>0</v>
      </c>
      <c r="I315" s="140">
        <v>0</v>
      </c>
      <c r="J315" s="140">
        <v>0</v>
      </c>
      <c r="K315" s="140">
        <v>0</v>
      </c>
      <c r="L315" s="140">
        <v>0</v>
      </c>
      <c r="M315" s="140">
        <v>0</v>
      </c>
      <c r="N315" s="140">
        <v>0</v>
      </c>
      <c r="O315" s="140">
        <v>0</v>
      </c>
      <c r="P315" s="140">
        <v>0</v>
      </c>
      <c r="Q315" s="140">
        <v>0</v>
      </c>
      <c r="R315" s="140">
        <v>0</v>
      </c>
      <c r="S315" s="140">
        <v>0</v>
      </c>
      <c r="T315" s="140">
        <v>0</v>
      </c>
      <c r="U315" s="140">
        <v>0</v>
      </c>
      <c r="V315" s="140">
        <v>0</v>
      </c>
      <c r="W315" s="140">
        <v>0</v>
      </c>
      <c r="X315" s="140">
        <v>0</v>
      </c>
      <c r="Y315" s="140">
        <v>0</v>
      </c>
      <c r="Z315" s="140">
        <v>0</v>
      </c>
      <c r="AB315" s="139">
        <f t="shared" si="19"/>
        <v>6.7666466459931875</v>
      </c>
    </row>
    <row r="316" spans="1:28" x14ac:dyDescent="0.2">
      <c r="A316" s="127" t="str">
        <f>'Scenario List'!$A$9</f>
        <v>7- WRAP PRM No QCC Changes</v>
      </c>
      <c r="B316" s="128" t="s">
        <v>18</v>
      </c>
      <c r="D316" s="140">
        <v>1.4862393477588638</v>
      </c>
      <c r="E316" s="140">
        <v>1.8574905887392421</v>
      </c>
      <c r="F316" s="140">
        <v>2.0968243826401136</v>
      </c>
      <c r="G316" s="140">
        <v>2.4741031621247647</v>
      </c>
      <c r="H316" s="140">
        <v>2.6493244249795351</v>
      </c>
      <c r="I316" s="140">
        <v>2.8169948709676174</v>
      </c>
      <c r="J316" s="140">
        <v>2.8286522505238558</v>
      </c>
      <c r="K316" s="140">
        <v>2.6981863948931775</v>
      </c>
      <c r="L316" s="140">
        <v>3.0862159041432342</v>
      </c>
      <c r="M316" s="140">
        <v>3.2547100550973838</v>
      </c>
      <c r="N316" s="140">
        <v>3.1319842907804336</v>
      </c>
      <c r="O316" s="140">
        <v>3.206848650592331</v>
      </c>
      <c r="P316" s="140">
        <v>3.1493294152281379</v>
      </c>
      <c r="Q316" s="140">
        <v>3.187084441808274</v>
      </c>
      <c r="R316" s="140">
        <v>2.8643843789407697</v>
      </c>
      <c r="S316" s="140">
        <v>2.5655505010713426</v>
      </c>
      <c r="T316" s="140">
        <v>2.4563375756859287</v>
      </c>
      <c r="U316" s="140">
        <v>2.4654678680452875</v>
      </c>
      <c r="V316" s="140">
        <v>2.1864027805384794</v>
      </c>
      <c r="W316" s="140">
        <v>2.2579132262693307</v>
      </c>
      <c r="X316" s="140">
        <v>1.374020177729065</v>
      </c>
      <c r="Y316" s="140">
        <v>1.5801360717259456</v>
      </c>
      <c r="Z316" s="140">
        <v>0.87494434361085638</v>
      </c>
      <c r="AB316" s="139">
        <f t="shared" si="19"/>
        <v>56.54914510389397</v>
      </c>
    </row>
    <row r="317" spans="1:28" x14ac:dyDescent="0.2">
      <c r="A317" s="127" t="str">
        <f>'Scenario List'!$A$9</f>
        <v>7- WRAP PRM No QCC Changes</v>
      </c>
      <c r="B317" s="128" t="s">
        <v>19</v>
      </c>
      <c r="D317" s="140">
        <v>1.3932361991791797</v>
      </c>
      <c r="E317" s="140">
        <v>1.7734451442335986</v>
      </c>
      <c r="F317" s="140">
        <v>2.0456375888297349</v>
      </c>
      <c r="G317" s="140">
        <v>2.4818333253057068</v>
      </c>
      <c r="H317" s="140">
        <v>2.7175050348777532</v>
      </c>
      <c r="I317" s="140">
        <v>2.9429969404276139</v>
      </c>
      <c r="J317" s="140">
        <v>3.0053040454994857</v>
      </c>
      <c r="K317" s="140">
        <v>2.9320306013397968</v>
      </c>
      <c r="L317" s="140">
        <v>3.3457087016108282</v>
      </c>
      <c r="M317" s="140">
        <v>3.5901725071471695</v>
      </c>
      <c r="N317" s="140">
        <v>3.5077438928394145</v>
      </c>
      <c r="O317" s="140">
        <v>3.5808598074837441</v>
      </c>
      <c r="P317" s="140">
        <v>3.4918693129482961</v>
      </c>
      <c r="Q317" s="140">
        <v>3.4788729948682402</v>
      </c>
      <c r="R317" s="140">
        <v>3.0773133555707233</v>
      </c>
      <c r="S317" s="140">
        <v>2.6604085119229808</v>
      </c>
      <c r="T317" s="140">
        <v>2.5237983109127313</v>
      </c>
      <c r="U317" s="140">
        <v>2.4606974917259663</v>
      </c>
      <c r="V317" s="140">
        <v>2.0879275291483879</v>
      </c>
      <c r="W317" s="140">
        <v>2.1499267721937727</v>
      </c>
      <c r="X317" s="140">
        <v>1.3454736588155569</v>
      </c>
      <c r="Y317" s="140">
        <v>1.5424027914868432</v>
      </c>
      <c r="Z317" s="140">
        <v>0.86203929380599931</v>
      </c>
      <c r="AB317" s="139">
        <f t="shared" si="19"/>
        <v>58.997203812173524</v>
      </c>
    </row>
    <row r="318" spans="1:28" x14ac:dyDescent="0.2">
      <c r="A318" s="127" t="str">
        <f>'Scenario List'!$A$9</f>
        <v>7- WRAP PRM No QCC Changes</v>
      </c>
      <c r="B318" s="128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  <c r="AB318" s="139"/>
    </row>
    <row r="319" spans="1:28" x14ac:dyDescent="0.2">
      <c r="A319" s="127" t="str">
        <f>'Scenario List'!$A$9</f>
        <v>7- WRAP PRM No QCC Changes</v>
      </c>
      <c r="B319" s="132" t="s">
        <v>8</v>
      </c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  <c r="AB319" s="139"/>
    </row>
    <row r="320" spans="1:28" x14ac:dyDescent="0.2">
      <c r="A320" s="127" t="str">
        <f>'Scenario List'!$A$9</f>
        <v>7- WRAP PRM No QCC Changes</v>
      </c>
      <c r="B320" s="128" t="s">
        <v>12</v>
      </c>
      <c r="D320" s="140">
        <v>0</v>
      </c>
      <c r="E320" s="140">
        <v>0</v>
      </c>
      <c r="F320" s="140">
        <v>0</v>
      </c>
      <c r="G320" s="140">
        <v>0</v>
      </c>
      <c r="H320" s="140">
        <v>0</v>
      </c>
      <c r="I320" s="140">
        <v>0</v>
      </c>
      <c r="J320" s="140">
        <v>0</v>
      </c>
      <c r="K320" s="140">
        <v>0</v>
      </c>
      <c r="L320" s="140">
        <v>0</v>
      </c>
      <c r="M320" s="140">
        <v>0</v>
      </c>
      <c r="N320" s="140">
        <v>0</v>
      </c>
      <c r="O320" s="140">
        <v>0</v>
      </c>
      <c r="P320" s="140">
        <v>0</v>
      </c>
      <c r="Q320" s="140">
        <v>0</v>
      </c>
      <c r="R320" s="140">
        <v>0</v>
      </c>
      <c r="S320" s="140">
        <v>0</v>
      </c>
      <c r="T320" s="140">
        <v>0</v>
      </c>
      <c r="U320" s="140">
        <v>0</v>
      </c>
      <c r="V320" s="140">
        <v>90.247500000000002</v>
      </c>
      <c r="W320" s="140">
        <v>97.980689618946613</v>
      </c>
      <c r="X320" s="140">
        <v>0</v>
      </c>
      <c r="Y320" s="140">
        <v>0</v>
      </c>
      <c r="Z320" s="140">
        <v>90.247500000000002</v>
      </c>
      <c r="AB320" s="139">
        <f t="shared" ref="AB320:AB330" si="20">SUM(C320:Z320)</f>
        <v>278.4756896189466</v>
      </c>
    </row>
    <row r="321" spans="1:28" x14ac:dyDescent="0.2">
      <c r="A321" s="127" t="str">
        <f>'Scenario List'!$A$9</f>
        <v>7- WRAP PRM No QCC Changes</v>
      </c>
      <c r="B321" s="128" t="s">
        <v>13</v>
      </c>
      <c r="D321" s="140">
        <v>0</v>
      </c>
      <c r="E321" s="140">
        <v>0</v>
      </c>
      <c r="F321" s="140">
        <v>0</v>
      </c>
      <c r="G321" s="140">
        <v>0</v>
      </c>
      <c r="H321" s="140">
        <v>0</v>
      </c>
      <c r="I321" s="140">
        <v>0</v>
      </c>
      <c r="J321" s="140">
        <v>0</v>
      </c>
      <c r="K321" s="140">
        <v>0</v>
      </c>
      <c r="L321" s="140">
        <v>0</v>
      </c>
      <c r="M321" s="140">
        <v>0</v>
      </c>
      <c r="N321" s="140">
        <v>0</v>
      </c>
      <c r="O321" s="140">
        <v>0</v>
      </c>
      <c r="P321" s="140">
        <v>0</v>
      </c>
      <c r="Q321" s="140">
        <v>0</v>
      </c>
      <c r="R321" s="140">
        <v>0</v>
      </c>
      <c r="S321" s="140">
        <v>0</v>
      </c>
      <c r="T321" s="140">
        <v>0</v>
      </c>
      <c r="U321" s="140">
        <v>0</v>
      </c>
      <c r="V321" s="140">
        <v>0</v>
      </c>
      <c r="W321" s="140">
        <v>0</v>
      </c>
      <c r="X321" s="140">
        <v>0</v>
      </c>
      <c r="Y321" s="140">
        <v>0</v>
      </c>
      <c r="Z321" s="140">
        <v>0</v>
      </c>
      <c r="AB321" s="139">
        <f t="shared" si="20"/>
        <v>0</v>
      </c>
    </row>
    <row r="322" spans="1:28" x14ac:dyDescent="0.2">
      <c r="A322" s="127" t="str">
        <f>'Scenario List'!$A$9</f>
        <v>7- WRAP PRM No QCC Changes</v>
      </c>
      <c r="B322" s="128" t="s">
        <v>14</v>
      </c>
      <c r="D322" s="140">
        <v>0</v>
      </c>
      <c r="E322" s="140">
        <v>0</v>
      </c>
      <c r="F322" s="140">
        <v>0</v>
      </c>
      <c r="G322" s="140">
        <v>0</v>
      </c>
      <c r="H322" s="140">
        <v>0</v>
      </c>
      <c r="I322" s="140">
        <v>0</v>
      </c>
      <c r="J322" s="140">
        <v>0</v>
      </c>
      <c r="K322" s="140">
        <v>0</v>
      </c>
      <c r="L322" s="140">
        <v>0</v>
      </c>
      <c r="M322" s="140">
        <v>0</v>
      </c>
      <c r="N322" s="140">
        <v>0</v>
      </c>
      <c r="O322" s="140">
        <v>0</v>
      </c>
      <c r="P322" s="140">
        <v>0</v>
      </c>
      <c r="Q322" s="140">
        <v>0</v>
      </c>
      <c r="R322" s="140">
        <v>0</v>
      </c>
      <c r="S322" s="140">
        <v>0</v>
      </c>
      <c r="T322" s="140">
        <v>0</v>
      </c>
      <c r="U322" s="140">
        <v>0</v>
      </c>
      <c r="V322" s="140">
        <v>0</v>
      </c>
      <c r="W322" s="140">
        <v>0</v>
      </c>
      <c r="X322" s="140">
        <v>0</v>
      </c>
      <c r="Y322" s="140">
        <v>0</v>
      </c>
      <c r="Z322" s="140">
        <v>0</v>
      </c>
      <c r="AB322" s="139">
        <f t="shared" si="20"/>
        <v>0</v>
      </c>
    </row>
    <row r="323" spans="1:28" x14ac:dyDescent="0.2">
      <c r="A323" s="127" t="str">
        <f>'Scenario List'!$A$9</f>
        <v>7- WRAP PRM No QCC Changes</v>
      </c>
      <c r="B323" s="128" t="s">
        <v>15</v>
      </c>
      <c r="D323" s="140">
        <v>0</v>
      </c>
      <c r="E323" s="140">
        <v>0</v>
      </c>
      <c r="F323" s="140">
        <v>0</v>
      </c>
      <c r="G323" s="140">
        <v>0</v>
      </c>
      <c r="H323" s="140">
        <v>0</v>
      </c>
      <c r="I323" s="140">
        <v>0</v>
      </c>
      <c r="J323" s="140">
        <v>0</v>
      </c>
      <c r="K323" s="140">
        <v>0</v>
      </c>
      <c r="L323" s="140">
        <v>0</v>
      </c>
      <c r="M323" s="140">
        <v>0</v>
      </c>
      <c r="N323" s="140">
        <v>0</v>
      </c>
      <c r="O323" s="140">
        <v>0</v>
      </c>
      <c r="P323" s="140">
        <v>0</v>
      </c>
      <c r="Q323" s="140">
        <v>0</v>
      </c>
      <c r="R323" s="140">
        <v>0</v>
      </c>
      <c r="S323" s="140">
        <v>0</v>
      </c>
      <c r="T323" s="140">
        <v>0</v>
      </c>
      <c r="U323" s="140">
        <v>0</v>
      </c>
      <c r="V323" s="140">
        <v>0</v>
      </c>
      <c r="W323" s="140">
        <v>0</v>
      </c>
      <c r="X323" s="140">
        <v>0</v>
      </c>
      <c r="Y323" s="140">
        <v>0</v>
      </c>
      <c r="Z323" s="140">
        <v>0</v>
      </c>
      <c r="AB323" s="139">
        <f t="shared" si="20"/>
        <v>0</v>
      </c>
    </row>
    <row r="324" spans="1:28" x14ac:dyDescent="0.2">
      <c r="A324" s="127" t="str">
        <f>'Scenario List'!$A$9</f>
        <v>7- WRAP PRM No QCC Changes</v>
      </c>
      <c r="B324" s="128" t="s">
        <v>16</v>
      </c>
      <c r="D324" s="140">
        <v>0</v>
      </c>
      <c r="E324" s="140">
        <v>0</v>
      </c>
      <c r="F324" s="140">
        <v>0</v>
      </c>
      <c r="G324" s="140">
        <v>0</v>
      </c>
      <c r="H324" s="140">
        <v>0</v>
      </c>
      <c r="I324" s="140">
        <v>0</v>
      </c>
      <c r="J324" s="140">
        <v>0</v>
      </c>
      <c r="K324" s="140">
        <v>0</v>
      </c>
      <c r="L324" s="140">
        <v>0</v>
      </c>
      <c r="M324" s="140">
        <v>43.837660003792358</v>
      </c>
      <c r="N324" s="140">
        <v>0</v>
      </c>
      <c r="O324" s="140">
        <v>0</v>
      </c>
      <c r="P324" s="140">
        <v>0</v>
      </c>
      <c r="Q324" s="140">
        <v>0</v>
      </c>
      <c r="R324" s="140">
        <v>27.600028158483109</v>
      </c>
      <c r="S324" s="140">
        <v>0</v>
      </c>
      <c r="T324" s="140">
        <v>26.187656813936528</v>
      </c>
      <c r="U324" s="140">
        <v>0</v>
      </c>
      <c r="V324" s="140">
        <v>0</v>
      </c>
      <c r="W324" s="140">
        <v>0</v>
      </c>
      <c r="X324" s="140">
        <v>3.3781328403642221</v>
      </c>
      <c r="Y324" s="140">
        <v>25</v>
      </c>
      <c r="Z324" s="140">
        <v>0</v>
      </c>
      <c r="AB324" s="139">
        <f t="shared" si="20"/>
        <v>126.00347781657621</v>
      </c>
    </row>
    <row r="325" spans="1:28" x14ac:dyDescent="0.2">
      <c r="A325" s="127" t="str">
        <f>'Scenario List'!$A$9</f>
        <v>7- WRAP PRM No QCC Changes</v>
      </c>
      <c r="B325" s="128" t="s">
        <v>85</v>
      </c>
      <c r="D325" s="140">
        <v>0</v>
      </c>
      <c r="E325" s="140">
        <v>0</v>
      </c>
      <c r="F325" s="140">
        <v>0</v>
      </c>
      <c r="G325" s="140">
        <v>0</v>
      </c>
      <c r="H325" s="140">
        <v>0</v>
      </c>
      <c r="I325" s="140">
        <v>0</v>
      </c>
      <c r="J325" s="140">
        <v>0</v>
      </c>
      <c r="K325" s="140">
        <v>0</v>
      </c>
      <c r="L325" s="140">
        <v>0</v>
      </c>
      <c r="M325" s="140">
        <v>0</v>
      </c>
      <c r="N325" s="140">
        <v>0</v>
      </c>
      <c r="O325" s="140">
        <v>0</v>
      </c>
      <c r="P325" s="140">
        <v>0</v>
      </c>
      <c r="Q325" s="140">
        <v>0</v>
      </c>
      <c r="R325" s="140">
        <v>0</v>
      </c>
      <c r="S325" s="140">
        <v>0</v>
      </c>
      <c r="T325" s="140">
        <v>0</v>
      </c>
      <c r="U325" s="140">
        <v>0</v>
      </c>
      <c r="V325" s="140">
        <v>0</v>
      </c>
      <c r="W325" s="140">
        <v>0</v>
      </c>
      <c r="X325" s="140">
        <v>0</v>
      </c>
      <c r="Y325" s="140">
        <v>0</v>
      </c>
      <c r="Z325" s="140">
        <v>0</v>
      </c>
      <c r="AB325" s="139">
        <f t="shared" si="20"/>
        <v>0</v>
      </c>
    </row>
    <row r="326" spans="1:28" x14ac:dyDescent="0.2">
      <c r="A326" s="127" t="str">
        <f>'Scenario List'!$A$9</f>
        <v>7- WRAP PRM No QCC Changes</v>
      </c>
      <c r="B326" s="128" t="s">
        <v>86</v>
      </c>
      <c r="D326" s="140">
        <v>0</v>
      </c>
      <c r="E326" s="140">
        <v>0</v>
      </c>
      <c r="F326" s="140">
        <v>0</v>
      </c>
      <c r="G326" s="140">
        <v>0</v>
      </c>
      <c r="H326" s="140">
        <v>0</v>
      </c>
      <c r="I326" s="140">
        <v>0</v>
      </c>
      <c r="J326" s="140">
        <v>0</v>
      </c>
      <c r="K326" s="140">
        <v>0</v>
      </c>
      <c r="L326" s="140">
        <v>0</v>
      </c>
      <c r="M326" s="140">
        <v>0</v>
      </c>
      <c r="N326" s="140">
        <v>0</v>
      </c>
      <c r="O326" s="140">
        <v>0</v>
      </c>
      <c r="P326" s="140">
        <v>0</v>
      </c>
      <c r="Q326" s="140">
        <v>0</v>
      </c>
      <c r="R326" s="140">
        <v>0</v>
      </c>
      <c r="S326" s="140">
        <v>0</v>
      </c>
      <c r="T326" s="140">
        <v>0</v>
      </c>
      <c r="U326" s="140">
        <v>0</v>
      </c>
      <c r="V326" s="140">
        <v>0</v>
      </c>
      <c r="W326" s="140">
        <v>0</v>
      </c>
      <c r="X326" s="140">
        <v>0</v>
      </c>
      <c r="Y326" s="140">
        <v>0</v>
      </c>
      <c r="Z326" s="140">
        <v>0</v>
      </c>
      <c r="AB326" s="139">
        <f t="shared" si="20"/>
        <v>0</v>
      </c>
    </row>
    <row r="327" spans="1:28" x14ac:dyDescent="0.2">
      <c r="A327" s="127" t="str">
        <f>'Scenario List'!$A$9</f>
        <v>7- WRAP PRM No QCC Changes</v>
      </c>
      <c r="B327" s="128" t="s">
        <v>87</v>
      </c>
      <c r="D327" s="140">
        <v>0</v>
      </c>
      <c r="E327" s="140">
        <v>0</v>
      </c>
      <c r="F327" s="140">
        <v>0</v>
      </c>
      <c r="G327" s="140">
        <v>0</v>
      </c>
      <c r="H327" s="140">
        <v>0</v>
      </c>
      <c r="I327" s="140">
        <v>0</v>
      </c>
      <c r="J327" s="140">
        <v>0</v>
      </c>
      <c r="K327" s="140">
        <v>0</v>
      </c>
      <c r="L327" s="140">
        <v>0</v>
      </c>
      <c r="M327" s="140">
        <v>0</v>
      </c>
      <c r="N327" s="140">
        <v>0</v>
      </c>
      <c r="O327" s="140">
        <v>0</v>
      </c>
      <c r="P327" s="140">
        <v>0</v>
      </c>
      <c r="Q327" s="140">
        <v>0</v>
      </c>
      <c r="R327" s="140">
        <v>0</v>
      </c>
      <c r="S327" s="140">
        <v>0</v>
      </c>
      <c r="T327" s="140">
        <v>0</v>
      </c>
      <c r="U327" s="140">
        <v>0</v>
      </c>
      <c r="V327" s="140">
        <v>0</v>
      </c>
      <c r="W327" s="140">
        <v>0</v>
      </c>
      <c r="X327" s="140">
        <v>0</v>
      </c>
      <c r="Y327" s="140">
        <v>0</v>
      </c>
      <c r="Z327" s="140">
        <v>0</v>
      </c>
      <c r="AB327" s="139">
        <f t="shared" si="20"/>
        <v>0</v>
      </c>
    </row>
    <row r="328" spans="1:28" x14ac:dyDescent="0.2">
      <c r="A328" s="127" t="str">
        <f>'Scenario List'!$A$9</f>
        <v>7- WRAP PRM No QCC Changes</v>
      </c>
      <c r="B328" s="128" t="s">
        <v>17</v>
      </c>
      <c r="D328" s="140">
        <v>0</v>
      </c>
      <c r="E328" s="140">
        <v>0</v>
      </c>
      <c r="F328" s="140">
        <v>0</v>
      </c>
      <c r="G328" s="140">
        <v>0</v>
      </c>
      <c r="H328" s="140">
        <v>0</v>
      </c>
      <c r="I328" s="140">
        <v>0</v>
      </c>
      <c r="J328" s="140">
        <v>0</v>
      </c>
      <c r="K328" s="140">
        <v>0</v>
      </c>
      <c r="L328" s="140">
        <v>0</v>
      </c>
      <c r="M328" s="140">
        <v>0</v>
      </c>
      <c r="N328" s="140">
        <v>0</v>
      </c>
      <c r="O328" s="140">
        <v>0</v>
      </c>
      <c r="P328" s="140">
        <v>0</v>
      </c>
      <c r="Q328" s="140">
        <v>5.3359045534416127</v>
      </c>
      <c r="R328" s="140">
        <v>0</v>
      </c>
      <c r="S328" s="140">
        <v>0</v>
      </c>
      <c r="T328" s="140">
        <v>0</v>
      </c>
      <c r="U328" s="140">
        <v>0</v>
      </c>
      <c r="V328" s="140">
        <v>0</v>
      </c>
      <c r="W328" s="140">
        <v>0</v>
      </c>
      <c r="X328" s="140">
        <v>0</v>
      </c>
      <c r="Y328" s="140">
        <v>0</v>
      </c>
      <c r="Z328" s="140">
        <v>0</v>
      </c>
      <c r="AB328" s="139">
        <f t="shared" si="20"/>
        <v>5.3359045534416127</v>
      </c>
    </row>
    <row r="329" spans="1:28" x14ac:dyDescent="0.2">
      <c r="A329" s="127" t="str">
        <f>'Scenario List'!$A$9</f>
        <v>7- WRAP PRM No QCC Changes</v>
      </c>
      <c r="B329" s="128" t="s">
        <v>18</v>
      </c>
      <c r="D329" s="140">
        <v>0.66981686671845864</v>
      </c>
      <c r="E329" s="140">
        <v>0.82197998772967173</v>
      </c>
      <c r="F329" s="140">
        <v>0.94768271192448728</v>
      </c>
      <c r="G329" s="140">
        <v>1.1018673386767444</v>
      </c>
      <c r="H329" s="140">
        <v>1.1852188543862652</v>
      </c>
      <c r="I329" s="140">
        <v>1.2547901828990717</v>
      </c>
      <c r="J329" s="140">
        <v>1.2481631930499697</v>
      </c>
      <c r="K329" s="140">
        <v>1.2281361459035214</v>
      </c>
      <c r="L329" s="140">
        <v>1.3416958620463824</v>
      </c>
      <c r="M329" s="140">
        <v>1.4013806202387062</v>
      </c>
      <c r="N329" s="140">
        <v>1.3269216913075415</v>
      </c>
      <c r="O329" s="140">
        <v>1.358905049335565</v>
      </c>
      <c r="P329" s="140">
        <v>1.32757054745381</v>
      </c>
      <c r="Q329" s="140">
        <v>1.3414310309637081</v>
      </c>
      <c r="R329" s="140">
        <v>1.2051056481467768</v>
      </c>
      <c r="S329" s="140">
        <v>1.0678338818909197</v>
      </c>
      <c r="T329" s="140">
        <v>1.0282328683724558</v>
      </c>
      <c r="U329" s="140">
        <v>1.0346129002010471</v>
      </c>
      <c r="V329" s="140">
        <v>0.89244804047129378</v>
      </c>
      <c r="W329" s="140">
        <v>0.94106818890639232</v>
      </c>
      <c r="X329" s="140">
        <v>0.53056003875812507</v>
      </c>
      <c r="Y329" s="140">
        <v>0.58991591894025674</v>
      </c>
      <c r="Z329" s="140">
        <v>0.36377815544998526</v>
      </c>
      <c r="AB329" s="139">
        <f>SUM(C329:Z329)</f>
        <v>24.209115723771156</v>
      </c>
    </row>
    <row r="330" spans="1:28" x14ac:dyDescent="0.2">
      <c r="A330" s="127" t="str">
        <f>'Scenario List'!$A$9</f>
        <v>7- WRAP PRM No QCC Changes</v>
      </c>
      <c r="B330" s="128" t="s">
        <v>19</v>
      </c>
      <c r="D330" s="140">
        <v>0.61980318777094612</v>
      </c>
      <c r="E330" s="140">
        <v>0.77903787732293395</v>
      </c>
      <c r="F330" s="140">
        <v>0.91827611363780193</v>
      </c>
      <c r="G330" s="140">
        <v>1.0970321857412602</v>
      </c>
      <c r="H330" s="140">
        <v>1.2040339530148505</v>
      </c>
      <c r="I330" s="140">
        <v>1.29928669298838</v>
      </c>
      <c r="J330" s="140">
        <v>1.3161761250764421</v>
      </c>
      <c r="K330" s="140">
        <v>1.3178549763641492</v>
      </c>
      <c r="L330" s="140">
        <v>1.4464822207352945</v>
      </c>
      <c r="M330" s="140">
        <v>1.5308545974426462</v>
      </c>
      <c r="N330" s="140">
        <v>1.4722126264854971</v>
      </c>
      <c r="O330" s="140">
        <v>1.5096826640146226</v>
      </c>
      <c r="P330" s="140">
        <v>1.470780449094784</v>
      </c>
      <c r="Q330" s="140">
        <v>1.4694289938636516</v>
      </c>
      <c r="R330" s="140">
        <v>1.3037034478220235</v>
      </c>
      <c r="S330" s="140">
        <v>1.1454299574984148</v>
      </c>
      <c r="T330" s="140">
        <v>1.1037567109080797</v>
      </c>
      <c r="U330" s="140">
        <v>1.0800734407649699</v>
      </c>
      <c r="V330" s="140">
        <v>0.90643665499966986</v>
      </c>
      <c r="W330" s="140">
        <v>0.94092197252429344</v>
      </c>
      <c r="X330" s="140">
        <v>0.56391891656100412</v>
      </c>
      <c r="Y330" s="140">
        <v>0.62337819391361649</v>
      </c>
      <c r="Z330" s="140">
        <v>0.39103416454924655</v>
      </c>
      <c r="AB330" s="139">
        <f t="shared" si="20"/>
        <v>25.509596123094578</v>
      </c>
    </row>
    <row r="331" spans="1:28" x14ac:dyDescent="0.2">
      <c r="A331" s="127" t="str">
        <f>'Scenario List'!$A$9</f>
        <v>7- WRAP PRM No QCC Changes</v>
      </c>
      <c r="B331" s="128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B331" s="139"/>
    </row>
    <row r="332" spans="1:28" x14ac:dyDescent="0.2">
      <c r="A332" s="127" t="str">
        <f>'Scenario List'!$A$9</f>
        <v>7- WRAP PRM No QCC Changes</v>
      </c>
      <c r="B332" s="131" t="s">
        <v>31</v>
      </c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B332" s="139"/>
    </row>
    <row r="333" spans="1:28" x14ac:dyDescent="0.2">
      <c r="A333" s="127" t="str">
        <f>'Scenario List'!$A$9</f>
        <v>7- WRAP PRM No QCC Changes</v>
      </c>
      <c r="B333" s="128" t="s">
        <v>1</v>
      </c>
      <c r="D333" s="140">
        <v>20.326343765459423</v>
      </c>
      <c r="E333" s="140">
        <v>44.3030649840628</v>
      </c>
      <c r="F333" s="140">
        <v>71.75666070564256</v>
      </c>
      <c r="G333" s="140">
        <v>101.40187489580543</v>
      </c>
      <c r="H333" s="140">
        <v>133.80801674850798</v>
      </c>
      <c r="I333" s="140">
        <v>169.1270032413388</v>
      </c>
      <c r="J333" s="140">
        <v>206.18375955140741</v>
      </c>
      <c r="K333" s="140">
        <v>242.26500422189432</v>
      </c>
      <c r="L333" s="140">
        <v>278.51988364413239</v>
      </c>
      <c r="M333" s="140">
        <v>313.13153520053186</v>
      </c>
      <c r="N333" s="140">
        <v>344.24440863451701</v>
      </c>
      <c r="O333" s="140">
        <v>372.01666035612169</v>
      </c>
      <c r="P333" s="140">
        <v>396.67052150634703</v>
      </c>
      <c r="Q333" s="140">
        <v>418.65160259839809</v>
      </c>
      <c r="R333" s="140">
        <v>438.38617323119621</v>
      </c>
      <c r="S333" s="140">
        <v>454.12135790614252</v>
      </c>
      <c r="T333" s="140">
        <v>468.41105444836046</v>
      </c>
      <c r="U333" s="140">
        <v>481.06552965734454</v>
      </c>
      <c r="V333" s="140">
        <v>493.01215191538677</v>
      </c>
      <c r="W333" s="140">
        <v>504.28129488315506</v>
      </c>
      <c r="X333" s="140">
        <v>510.58785600638515</v>
      </c>
      <c r="Y333" s="140">
        <v>516.76035118209404</v>
      </c>
      <c r="Z333" s="140">
        <v>521.45494886971983</v>
      </c>
      <c r="AB333" s="139">
        <f>Z333/8.76</f>
        <v>59.526820647228291</v>
      </c>
    </row>
    <row r="334" spans="1:28" x14ac:dyDescent="0.2">
      <c r="A334" s="127" t="str">
        <f>'Scenario List'!$A$9</f>
        <v>7- WRAP PRM No QCC Changes</v>
      </c>
      <c r="B334" s="128" t="s">
        <v>2</v>
      </c>
      <c r="D334" s="140">
        <v>7.9406925990989139</v>
      </c>
      <c r="E334" s="140">
        <v>17.196455717887638</v>
      </c>
      <c r="F334" s="140">
        <v>27.734592909397687</v>
      </c>
      <c r="G334" s="140">
        <v>38.992139927575444</v>
      </c>
      <c r="H334" s="140">
        <v>51.194413146126394</v>
      </c>
      <c r="I334" s="140">
        <v>64.21624573907205</v>
      </c>
      <c r="J334" s="140">
        <v>77.666570619714477</v>
      </c>
      <c r="K334" s="140">
        <v>90.723850028829617</v>
      </c>
      <c r="L334" s="140">
        <v>103.96593146178319</v>
      </c>
      <c r="M334" s="140">
        <v>116.86588797572567</v>
      </c>
      <c r="N334" s="140">
        <v>127.98945826729994</v>
      </c>
      <c r="O334" s="140">
        <v>138.27954247499406</v>
      </c>
      <c r="P334" s="140">
        <v>147.82708043364508</v>
      </c>
      <c r="Q334" s="140">
        <v>156.72976164637831</v>
      </c>
      <c r="R334" s="140">
        <v>165.02752993559332</v>
      </c>
      <c r="S334" s="140">
        <v>171.80095742896356</v>
      </c>
      <c r="T334" s="140">
        <v>178.10660247360758</v>
      </c>
      <c r="U334" s="140">
        <v>183.80133544345284</v>
      </c>
      <c r="V334" s="140">
        <v>189.16261868141945</v>
      </c>
      <c r="W334" s="140">
        <v>194.28163303482032</v>
      </c>
      <c r="X334" s="140">
        <v>196.90564409409421</v>
      </c>
      <c r="Y334" s="140">
        <v>199.44026367605599</v>
      </c>
      <c r="Z334" s="140">
        <v>201.53821162313432</v>
      </c>
      <c r="AB334" s="139">
        <f>Z334/8.76</f>
        <v>23.006645162458256</v>
      </c>
    </row>
    <row r="335" spans="1:28" x14ac:dyDescent="0.2">
      <c r="A335" s="127" t="str">
        <f>'Scenario List'!$A$9</f>
        <v>7- WRAP PRM No QCC Changes</v>
      </c>
      <c r="B335" s="128" t="s">
        <v>4</v>
      </c>
      <c r="D335" s="140">
        <v>28.267036364558336</v>
      </c>
      <c r="E335" s="140">
        <v>61.499520701950438</v>
      </c>
      <c r="F335" s="140">
        <v>99.49125361504025</v>
      </c>
      <c r="G335" s="140">
        <v>140.39401482338087</v>
      </c>
      <c r="H335" s="140">
        <v>185.00242989463436</v>
      </c>
      <c r="I335" s="140">
        <v>233.34324898041086</v>
      </c>
      <c r="J335" s="140">
        <v>283.85033017112187</v>
      </c>
      <c r="K335" s="140">
        <v>332.98885425072393</v>
      </c>
      <c r="L335" s="140">
        <v>382.48581510591555</v>
      </c>
      <c r="M335" s="140">
        <v>429.99742317625754</v>
      </c>
      <c r="N335" s="140">
        <v>472.23386690181695</v>
      </c>
      <c r="O335" s="140">
        <v>510.29620283111575</v>
      </c>
      <c r="P335" s="140">
        <v>544.49760193999214</v>
      </c>
      <c r="Q335" s="140">
        <v>575.38136424477636</v>
      </c>
      <c r="R335" s="140">
        <v>603.41370316678956</v>
      </c>
      <c r="S335" s="140">
        <v>625.92231533510608</v>
      </c>
      <c r="T335" s="140">
        <v>646.51765692196807</v>
      </c>
      <c r="U335" s="140">
        <v>664.86686510079744</v>
      </c>
      <c r="V335" s="140">
        <v>682.17477059680618</v>
      </c>
      <c r="W335" s="140">
        <v>698.56292791797534</v>
      </c>
      <c r="X335" s="140">
        <v>707.49350010047942</v>
      </c>
      <c r="Y335" s="140">
        <v>716.20061485815006</v>
      </c>
      <c r="Z335" s="140">
        <v>722.99316049285414</v>
      </c>
      <c r="AB335" s="139">
        <f>Z335/8.76</f>
        <v>82.533465809686547</v>
      </c>
    </row>
    <row r="336" spans="1:28" x14ac:dyDescent="0.2">
      <c r="A336" s="127" t="str">
        <f>'Scenario List'!$A$9</f>
        <v>7- WRAP PRM No QCC Changes</v>
      </c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  <c r="AB336" s="139"/>
    </row>
    <row r="337" spans="1:28" x14ac:dyDescent="0.2">
      <c r="A337" s="127" t="str">
        <f>'Scenario List'!$A$9</f>
        <v>7- WRAP PRM No QCC Changes</v>
      </c>
      <c r="B337" s="141" t="s">
        <v>32</v>
      </c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  <c r="AB337" s="139"/>
    </row>
    <row r="338" spans="1:28" x14ac:dyDescent="0.2">
      <c r="A338" s="127" t="str">
        <f>'Scenario List'!$A$9</f>
        <v>7- WRAP PRM No QCC Changes</v>
      </c>
      <c r="B338" s="128" t="s">
        <v>1</v>
      </c>
      <c r="D338" s="140">
        <v>2.44632154360702</v>
      </c>
      <c r="E338" s="140">
        <v>5.3339090021261395</v>
      </c>
      <c r="F338" s="140">
        <v>8.6371382816277738</v>
      </c>
      <c r="G338" s="140">
        <v>12.206533450969513</v>
      </c>
      <c r="H338" s="140">
        <v>16.108725747669329</v>
      </c>
      <c r="I338" s="140">
        <v>20.368512248561906</v>
      </c>
      <c r="J338" s="140">
        <v>24.825335374071475</v>
      </c>
      <c r="K338" s="140">
        <v>29.171710716858346</v>
      </c>
      <c r="L338" s="140">
        <v>33.540106482713909</v>
      </c>
      <c r="M338" s="140">
        <v>37.723696280331083</v>
      </c>
      <c r="N338" s="140">
        <v>41.462143688407281</v>
      </c>
      <c r="O338" s="140">
        <v>44.811227776049385</v>
      </c>
      <c r="P338" s="140">
        <v>47.785355608447006</v>
      </c>
      <c r="Q338" s="140">
        <v>50.455118331480953</v>
      </c>
      <c r="R338" s="140">
        <v>52.820865435176827</v>
      </c>
      <c r="S338" s="140">
        <v>54.72226894538219</v>
      </c>
      <c r="T338" s="140">
        <v>56.450003830403439</v>
      </c>
      <c r="U338" s="140">
        <v>58.001480612326347</v>
      </c>
      <c r="V338" s="140">
        <v>59.42760591180847</v>
      </c>
      <c r="W338" s="140">
        <v>60.792894384724747</v>
      </c>
      <c r="X338" s="140">
        <v>61.560425991541173</v>
      </c>
      <c r="Y338" s="140">
        <v>62.335060771186328</v>
      </c>
      <c r="Z338" s="140">
        <v>62.886450161068211</v>
      </c>
      <c r="AB338" s="139">
        <f>Z338</f>
        <v>62.886450161068211</v>
      </c>
    </row>
    <row r="339" spans="1:28" x14ac:dyDescent="0.2">
      <c r="A339" s="127" t="str">
        <f>'Scenario List'!$A$9</f>
        <v>7- WRAP PRM No QCC Changes</v>
      </c>
      <c r="B339" s="128" t="s">
        <v>2</v>
      </c>
      <c r="D339" s="140">
        <v>0.95568035257507788</v>
      </c>
      <c r="E339" s="140">
        <v>2.0703833920136341</v>
      </c>
      <c r="F339" s="140">
        <v>3.3383314076693686</v>
      </c>
      <c r="G339" s="140">
        <v>4.6937875738481241</v>
      </c>
      <c r="H339" s="140">
        <v>6.1631341770337018</v>
      </c>
      <c r="I339" s="140">
        <v>7.7337702603675398</v>
      </c>
      <c r="J339" s="140">
        <v>9.3513604911626871</v>
      </c>
      <c r="K339" s="140">
        <v>10.924276565081698</v>
      </c>
      <c r="L339" s="140">
        <v>12.519854475661617</v>
      </c>
      <c r="M339" s="140">
        <v>14.079109792324692</v>
      </c>
      <c r="N339" s="140">
        <v>15.415551207730198</v>
      </c>
      <c r="O339" s="140">
        <v>16.656447774901082</v>
      </c>
      <c r="P339" s="140">
        <v>17.808153679418801</v>
      </c>
      <c r="Q339" s="140">
        <v>18.888781556913315</v>
      </c>
      <c r="R339" s="140">
        <v>19.884059954670313</v>
      </c>
      <c r="S339" s="140">
        <v>20.702259503603795</v>
      </c>
      <c r="T339" s="140">
        <v>21.464306395791297</v>
      </c>
      <c r="U339" s="140">
        <v>22.160701478313378</v>
      </c>
      <c r="V339" s="140">
        <v>22.801631790557597</v>
      </c>
      <c r="W339" s="140">
        <v>23.421338284447668</v>
      </c>
      <c r="X339" s="140">
        <v>23.740469319778821</v>
      </c>
      <c r="Y339" s="140">
        <v>24.05780731441525</v>
      </c>
      <c r="Z339" s="140">
        <v>24.305115385826987</v>
      </c>
      <c r="AB339" s="139">
        <f>Z339</f>
        <v>24.305115385826987</v>
      </c>
    </row>
    <row r="340" spans="1:28" x14ac:dyDescent="0.2">
      <c r="A340" s="127" t="str">
        <f>'Scenario List'!$A$9</f>
        <v>7- WRAP PRM No QCC Changes</v>
      </c>
      <c r="B340" s="128" t="s">
        <v>4</v>
      </c>
      <c r="D340" s="140">
        <v>3.4020018961820977</v>
      </c>
      <c r="E340" s="140">
        <v>7.4042923941397731</v>
      </c>
      <c r="F340" s="140">
        <v>11.975469689297142</v>
      </c>
      <c r="G340" s="140">
        <v>16.900321024817636</v>
      </c>
      <c r="H340" s="140">
        <v>22.27185992470303</v>
      </c>
      <c r="I340" s="140">
        <v>28.102282508929445</v>
      </c>
      <c r="J340" s="140">
        <v>34.176695865234166</v>
      </c>
      <c r="K340" s="140">
        <v>40.09598728194004</v>
      </c>
      <c r="L340" s="140">
        <v>46.059960958375527</v>
      </c>
      <c r="M340" s="140">
        <v>51.802806072655777</v>
      </c>
      <c r="N340" s="140">
        <v>56.877694896137477</v>
      </c>
      <c r="O340" s="140">
        <v>61.467675550950467</v>
      </c>
      <c r="P340" s="140">
        <v>65.5935092878658</v>
      </c>
      <c r="Q340" s="140">
        <v>69.343899888394276</v>
      </c>
      <c r="R340" s="140">
        <v>72.704925389847148</v>
      </c>
      <c r="S340" s="140">
        <v>75.424528448985981</v>
      </c>
      <c r="T340" s="140">
        <v>77.914310226194743</v>
      </c>
      <c r="U340" s="140">
        <v>80.162182090639732</v>
      </c>
      <c r="V340" s="140">
        <v>82.229237702366063</v>
      </c>
      <c r="W340" s="140">
        <v>84.214232669172418</v>
      </c>
      <c r="X340" s="140">
        <v>85.300895311319991</v>
      </c>
      <c r="Y340" s="140">
        <v>86.392868085601577</v>
      </c>
      <c r="Z340" s="140">
        <v>87.191565546895191</v>
      </c>
      <c r="AB340" s="139">
        <f>Z340</f>
        <v>87.191565546895191</v>
      </c>
    </row>
    <row r="343" spans="1:28" x14ac:dyDescent="0.2">
      <c r="A343" s="127" t="str">
        <f>'Scenario List'!$A$10</f>
        <v>8- VERs Assigned to Washington</v>
      </c>
      <c r="B343" s="131" t="s">
        <v>11</v>
      </c>
    </row>
    <row r="344" spans="1:28" x14ac:dyDescent="0.2">
      <c r="A344" s="127" t="str">
        <f>'Scenario List'!$A$10</f>
        <v>8- VERs Assigned to Washington</v>
      </c>
      <c r="B344" s="128" t="s">
        <v>12</v>
      </c>
      <c r="D344" s="140">
        <v>0</v>
      </c>
      <c r="E344" s="140">
        <v>0</v>
      </c>
      <c r="F344" s="140">
        <v>0</v>
      </c>
      <c r="G344" s="140">
        <v>0</v>
      </c>
      <c r="H344" s="140">
        <v>0</v>
      </c>
      <c r="I344" s="140">
        <v>0</v>
      </c>
      <c r="J344" s="140">
        <v>0</v>
      </c>
      <c r="K344" s="140">
        <v>0</v>
      </c>
      <c r="L344" s="140">
        <v>0</v>
      </c>
      <c r="M344" s="140">
        <v>0</v>
      </c>
      <c r="N344" s="140">
        <v>0</v>
      </c>
      <c r="O344" s="140">
        <v>0</v>
      </c>
      <c r="P344" s="140">
        <v>0</v>
      </c>
      <c r="Q344" s="140">
        <v>0</v>
      </c>
      <c r="R344" s="140">
        <v>0</v>
      </c>
      <c r="S344" s="140">
        <v>0</v>
      </c>
      <c r="T344" s="140">
        <v>0</v>
      </c>
      <c r="U344" s="140">
        <v>0</v>
      </c>
      <c r="V344" s="140">
        <v>0</v>
      </c>
      <c r="W344" s="140">
        <v>0</v>
      </c>
      <c r="X344" s="140">
        <v>0</v>
      </c>
      <c r="Y344" s="140">
        <v>0</v>
      </c>
      <c r="Z344" s="140">
        <v>0</v>
      </c>
      <c r="AB344" s="139">
        <f>SUM(C344:Z344)</f>
        <v>0</v>
      </c>
    </row>
    <row r="345" spans="1:28" x14ac:dyDescent="0.2">
      <c r="A345" s="127" t="str">
        <f>'Scenario List'!$A$10</f>
        <v>8- VERs Assigned to Washington</v>
      </c>
      <c r="B345" s="128" t="s">
        <v>13</v>
      </c>
      <c r="D345" s="140">
        <v>0</v>
      </c>
      <c r="E345" s="140">
        <v>0</v>
      </c>
      <c r="F345" s="140">
        <v>0</v>
      </c>
      <c r="G345" s="140">
        <v>0</v>
      </c>
      <c r="H345" s="140">
        <v>0</v>
      </c>
      <c r="I345" s="140">
        <v>0</v>
      </c>
      <c r="J345" s="140">
        <v>0</v>
      </c>
      <c r="K345" s="140">
        <v>0</v>
      </c>
      <c r="L345" s="140">
        <v>0</v>
      </c>
      <c r="M345" s="140">
        <v>0</v>
      </c>
      <c r="N345" s="140">
        <v>0</v>
      </c>
      <c r="O345" s="140">
        <v>0</v>
      </c>
      <c r="P345" s="140">
        <v>0</v>
      </c>
      <c r="Q345" s="140">
        <v>0</v>
      </c>
      <c r="R345" s="140">
        <v>0</v>
      </c>
      <c r="S345" s="140">
        <v>0</v>
      </c>
      <c r="T345" s="140">
        <v>0</v>
      </c>
      <c r="U345" s="140">
        <v>0</v>
      </c>
      <c r="V345" s="140">
        <v>0</v>
      </c>
      <c r="W345" s="140">
        <v>0</v>
      </c>
      <c r="X345" s="140">
        <v>0</v>
      </c>
      <c r="Y345" s="140">
        <v>0</v>
      </c>
      <c r="Z345" s="140">
        <v>0</v>
      </c>
      <c r="AB345" s="139">
        <f t="shared" ref="AB345:AB352" si="21">SUM(C345:Z345)</f>
        <v>0</v>
      </c>
    </row>
    <row r="346" spans="1:28" x14ac:dyDescent="0.2">
      <c r="A346" s="127" t="str">
        <f>'Scenario List'!$A$10</f>
        <v>8- VERs Assigned to Washington</v>
      </c>
      <c r="B346" s="128" t="s">
        <v>14</v>
      </c>
      <c r="D346" s="140">
        <v>0</v>
      </c>
      <c r="E346" s="140">
        <v>0</v>
      </c>
      <c r="F346" s="140">
        <v>0</v>
      </c>
      <c r="G346" s="140">
        <v>0</v>
      </c>
      <c r="H346" s="140">
        <v>0</v>
      </c>
      <c r="I346" s="140">
        <v>0</v>
      </c>
      <c r="J346" s="140">
        <v>0</v>
      </c>
      <c r="K346" s="140">
        <v>0</v>
      </c>
      <c r="L346" s="140">
        <v>0</v>
      </c>
      <c r="M346" s="140">
        <v>0</v>
      </c>
      <c r="N346" s="140">
        <v>0</v>
      </c>
      <c r="O346" s="140">
        <v>0</v>
      </c>
      <c r="P346" s="140">
        <v>0</v>
      </c>
      <c r="Q346" s="140">
        <v>0</v>
      </c>
      <c r="R346" s="140">
        <v>0</v>
      </c>
      <c r="S346" s="140">
        <v>0</v>
      </c>
      <c r="T346" s="140">
        <v>0</v>
      </c>
      <c r="U346" s="140">
        <v>0</v>
      </c>
      <c r="V346" s="140">
        <v>0</v>
      </c>
      <c r="W346" s="140">
        <v>0</v>
      </c>
      <c r="X346" s="140">
        <v>0</v>
      </c>
      <c r="Y346" s="140">
        <v>0</v>
      </c>
      <c r="Z346" s="140">
        <v>0</v>
      </c>
      <c r="AB346" s="139">
        <f t="shared" si="21"/>
        <v>0</v>
      </c>
    </row>
    <row r="347" spans="1:28" x14ac:dyDescent="0.2">
      <c r="A347" s="127" t="str">
        <f>'Scenario List'!$A$10</f>
        <v>8- VERs Assigned to Washington</v>
      </c>
      <c r="B347" s="128" t="s">
        <v>15</v>
      </c>
      <c r="D347" s="140">
        <v>0</v>
      </c>
      <c r="E347" s="140">
        <v>0</v>
      </c>
      <c r="F347" s="140">
        <v>0</v>
      </c>
      <c r="G347" s="140">
        <v>0</v>
      </c>
      <c r="H347" s="140">
        <v>0</v>
      </c>
      <c r="I347" s="140">
        <v>0</v>
      </c>
      <c r="J347" s="140">
        <v>0</v>
      </c>
      <c r="K347" s="140">
        <v>0</v>
      </c>
      <c r="L347" s="140">
        <v>0</v>
      </c>
      <c r="M347" s="140">
        <v>0</v>
      </c>
      <c r="N347" s="140">
        <v>0</v>
      </c>
      <c r="O347" s="140">
        <v>0</v>
      </c>
      <c r="P347" s="140">
        <v>0</v>
      </c>
      <c r="Q347" s="140">
        <v>0</v>
      </c>
      <c r="R347" s="140">
        <v>0</v>
      </c>
      <c r="S347" s="140">
        <v>0</v>
      </c>
      <c r="T347" s="140">
        <v>0</v>
      </c>
      <c r="U347" s="140">
        <v>0</v>
      </c>
      <c r="V347" s="140">
        <v>0</v>
      </c>
      <c r="W347" s="140">
        <v>0</v>
      </c>
      <c r="X347" s="140">
        <v>0</v>
      </c>
      <c r="Y347" s="140">
        <v>0</v>
      </c>
      <c r="Z347" s="140">
        <v>0</v>
      </c>
      <c r="AB347" s="139">
        <f t="shared" si="21"/>
        <v>0</v>
      </c>
    </row>
    <row r="348" spans="1:28" x14ac:dyDescent="0.2">
      <c r="A348" s="127" t="str">
        <f>'Scenario List'!$A$10</f>
        <v>8- VERs Assigned to Washington</v>
      </c>
      <c r="B348" s="128" t="s">
        <v>16</v>
      </c>
      <c r="D348" s="140">
        <v>0</v>
      </c>
      <c r="E348" s="140">
        <v>0</v>
      </c>
      <c r="F348" s="140">
        <v>0</v>
      </c>
      <c r="G348" s="140">
        <v>0</v>
      </c>
      <c r="H348" s="140">
        <v>0</v>
      </c>
      <c r="I348" s="140">
        <v>0</v>
      </c>
      <c r="J348" s="140">
        <v>0</v>
      </c>
      <c r="K348" s="140">
        <v>0</v>
      </c>
      <c r="L348" s="140">
        <v>0</v>
      </c>
      <c r="M348" s="140">
        <v>0</v>
      </c>
      <c r="N348" s="140">
        <v>0</v>
      </c>
      <c r="O348" s="140">
        <v>0</v>
      </c>
      <c r="P348" s="140">
        <v>0</v>
      </c>
      <c r="Q348" s="140">
        <v>0</v>
      </c>
      <c r="R348" s="140">
        <v>0</v>
      </c>
      <c r="S348" s="140">
        <v>0</v>
      </c>
      <c r="T348" s="140">
        <v>0</v>
      </c>
      <c r="U348" s="140">
        <v>0</v>
      </c>
      <c r="V348" s="140">
        <v>0</v>
      </c>
      <c r="W348" s="140">
        <v>0</v>
      </c>
      <c r="X348" s="140">
        <v>57.032057633211053</v>
      </c>
      <c r="Y348" s="140">
        <v>59.859440495966474</v>
      </c>
      <c r="Z348" s="140">
        <v>0</v>
      </c>
      <c r="AB348" s="139">
        <f t="shared" si="21"/>
        <v>116.89149812917753</v>
      </c>
    </row>
    <row r="349" spans="1:28" x14ac:dyDescent="0.2">
      <c r="A349" s="127" t="str">
        <f>'Scenario List'!$A$10</f>
        <v>8- VERs Assigned to Washington</v>
      </c>
      <c r="B349" s="128" t="s">
        <v>85</v>
      </c>
      <c r="D349" s="140">
        <v>0</v>
      </c>
      <c r="E349" s="140">
        <v>0</v>
      </c>
      <c r="F349" s="140">
        <v>0</v>
      </c>
      <c r="G349" s="140">
        <v>0</v>
      </c>
      <c r="H349" s="140">
        <v>0</v>
      </c>
      <c r="I349" s="140">
        <v>0</v>
      </c>
      <c r="J349" s="140">
        <v>0</v>
      </c>
      <c r="K349" s="140">
        <v>0</v>
      </c>
      <c r="L349" s="140">
        <v>0</v>
      </c>
      <c r="M349" s="140">
        <v>0</v>
      </c>
      <c r="N349" s="140">
        <v>0</v>
      </c>
      <c r="O349" s="140">
        <v>0</v>
      </c>
      <c r="P349" s="140">
        <v>0</v>
      </c>
      <c r="Q349" s="140">
        <v>0</v>
      </c>
      <c r="R349" s="140">
        <v>0</v>
      </c>
      <c r="S349" s="140">
        <v>0</v>
      </c>
      <c r="T349" s="140">
        <v>0</v>
      </c>
      <c r="U349" s="140">
        <v>0</v>
      </c>
      <c r="V349" s="140">
        <v>0</v>
      </c>
      <c r="W349" s="140">
        <v>0</v>
      </c>
      <c r="X349" s="140">
        <v>0</v>
      </c>
      <c r="Y349" s="140">
        <v>0</v>
      </c>
      <c r="Z349" s="140">
        <v>0</v>
      </c>
      <c r="AB349" s="139">
        <f t="shared" si="21"/>
        <v>0</v>
      </c>
    </row>
    <row r="350" spans="1:28" x14ac:dyDescent="0.2">
      <c r="A350" s="127" t="str">
        <f>'Scenario List'!$A$10</f>
        <v>8- VERs Assigned to Washington</v>
      </c>
      <c r="B350" s="128" t="s">
        <v>86</v>
      </c>
      <c r="D350" s="140">
        <v>0</v>
      </c>
      <c r="E350" s="140">
        <v>0</v>
      </c>
      <c r="F350" s="140">
        <v>0</v>
      </c>
      <c r="G350" s="140">
        <v>0</v>
      </c>
      <c r="H350" s="140">
        <v>0</v>
      </c>
      <c r="I350" s="140">
        <v>0</v>
      </c>
      <c r="J350" s="140">
        <v>0</v>
      </c>
      <c r="K350" s="140">
        <v>0</v>
      </c>
      <c r="L350" s="140">
        <v>0</v>
      </c>
      <c r="M350" s="140">
        <v>0</v>
      </c>
      <c r="N350" s="140">
        <v>0</v>
      </c>
      <c r="O350" s="140">
        <v>0</v>
      </c>
      <c r="P350" s="140">
        <v>0</v>
      </c>
      <c r="Q350" s="140">
        <v>0</v>
      </c>
      <c r="R350" s="140">
        <v>0</v>
      </c>
      <c r="S350" s="140">
        <v>0</v>
      </c>
      <c r="T350" s="140">
        <v>0</v>
      </c>
      <c r="U350" s="140">
        <v>0</v>
      </c>
      <c r="V350" s="140">
        <v>0</v>
      </c>
      <c r="W350" s="140">
        <v>0</v>
      </c>
      <c r="X350" s="140">
        <v>0</v>
      </c>
      <c r="Y350" s="140">
        <v>0</v>
      </c>
      <c r="Z350" s="140">
        <v>0</v>
      </c>
      <c r="AB350" s="139">
        <f t="shared" si="21"/>
        <v>0</v>
      </c>
    </row>
    <row r="351" spans="1:28" x14ac:dyDescent="0.2">
      <c r="A351" s="127" t="str">
        <f>'Scenario List'!$A$10</f>
        <v>8- VERs Assigned to Washington</v>
      </c>
      <c r="B351" s="128" t="s">
        <v>87</v>
      </c>
      <c r="D351" s="140">
        <v>0</v>
      </c>
      <c r="E351" s="140">
        <v>0</v>
      </c>
      <c r="F351" s="140">
        <v>0</v>
      </c>
      <c r="G351" s="140">
        <v>0</v>
      </c>
      <c r="H351" s="140">
        <v>0</v>
      </c>
      <c r="I351" s="140">
        <v>0</v>
      </c>
      <c r="J351" s="140">
        <v>0</v>
      </c>
      <c r="K351" s="140">
        <v>0</v>
      </c>
      <c r="L351" s="140">
        <v>0</v>
      </c>
      <c r="M351" s="140">
        <v>0</v>
      </c>
      <c r="N351" s="140">
        <v>0</v>
      </c>
      <c r="O351" s="140">
        <v>0</v>
      </c>
      <c r="P351" s="140">
        <v>0</v>
      </c>
      <c r="Q351" s="140">
        <v>0</v>
      </c>
      <c r="R351" s="140">
        <v>0</v>
      </c>
      <c r="S351" s="140">
        <v>0</v>
      </c>
      <c r="T351" s="140">
        <v>0</v>
      </c>
      <c r="U351" s="140">
        <v>0</v>
      </c>
      <c r="V351" s="140">
        <v>0</v>
      </c>
      <c r="W351" s="140">
        <v>0</v>
      </c>
      <c r="X351" s="140">
        <v>0</v>
      </c>
      <c r="Y351" s="140">
        <v>0</v>
      </c>
      <c r="Z351" s="140">
        <v>0</v>
      </c>
      <c r="AB351" s="139">
        <f t="shared" si="21"/>
        <v>0</v>
      </c>
    </row>
    <row r="352" spans="1:28" x14ac:dyDescent="0.2">
      <c r="A352" s="127" t="str">
        <f>'Scenario List'!$A$10</f>
        <v>8- VERs Assigned to Washington</v>
      </c>
      <c r="B352" s="128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B352" s="139">
        <f t="shared" si="21"/>
        <v>0</v>
      </c>
    </row>
    <row r="353" spans="1:28" x14ac:dyDescent="0.2">
      <c r="A353" s="127" t="str">
        <f>'Scenario List'!$A$10</f>
        <v>8- VERs Assigned to Washington</v>
      </c>
      <c r="B353" s="128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  <c r="AB353" s="139"/>
    </row>
    <row r="354" spans="1:28" x14ac:dyDescent="0.2">
      <c r="A354" s="127" t="str">
        <f>'Scenario List'!$A$10</f>
        <v>8- VERs Assigned to Washington</v>
      </c>
      <c r="B354" s="128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  <c r="AB354" s="139"/>
    </row>
    <row r="355" spans="1:28" x14ac:dyDescent="0.2">
      <c r="A355" s="127" t="str">
        <f>'Scenario List'!$A$10</f>
        <v>8- VERs Assigned to Washington</v>
      </c>
      <c r="B355" s="131" t="s">
        <v>9</v>
      </c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  <c r="AB355" s="139"/>
    </row>
    <row r="356" spans="1:28" x14ac:dyDescent="0.2">
      <c r="A356" s="127" t="str">
        <f>'Scenario List'!$A$10</f>
        <v>8- VERs Assigned to Washington</v>
      </c>
      <c r="B356" s="128" t="s">
        <v>12</v>
      </c>
      <c r="D356" s="140">
        <v>0</v>
      </c>
      <c r="E356" s="140">
        <v>0</v>
      </c>
      <c r="F356" s="140">
        <v>0</v>
      </c>
      <c r="G356" s="140">
        <v>0</v>
      </c>
      <c r="H356" s="140">
        <v>0</v>
      </c>
      <c r="I356" s="140">
        <v>0</v>
      </c>
      <c r="J356" s="140">
        <v>0</v>
      </c>
      <c r="K356" s="140">
        <v>0</v>
      </c>
      <c r="L356" s="140">
        <v>0</v>
      </c>
      <c r="M356" s="140">
        <v>0</v>
      </c>
      <c r="N356" s="140">
        <v>0</v>
      </c>
      <c r="O356" s="140">
        <v>0</v>
      </c>
      <c r="P356" s="140">
        <v>0</v>
      </c>
      <c r="Q356" s="140">
        <v>0</v>
      </c>
      <c r="R356" s="140">
        <v>0</v>
      </c>
      <c r="S356" s="140">
        <v>0</v>
      </c>
      <c r="T356" s="140">
        <v>0</v>
      </c>
      <c r="U356" s="140">
        <v>0</v>
      </c>
      <c r="V356" s="140">
        <v>0</v>
      </c>
      <c r="W356" s="140">
        <v>0</v>
      </c>
      <c r="X356" s="140">
        <v>0</v>
      </c>
      <c r="Y356" s="140">
        <v>0</v>
      </c>
      <c r="Z356" s="140">
        <v>0</v>
      </c>
      <c r="AB356" s="139">
        <f t="shared" ref="AB356:AB366" si="22">SUM(C356:Z356)</f>
        <v>0</v>
      </c>
    </row>
    <row r="357" spans="1:28" x14ac:dyDescent="0.2">
      <c r="A357" s="127" t="str">
        <f>'Scenario List'!$A$10</f>
        <v>8- VERs Assigned to Washington</v>
      </c>
      <c r="B357" s="128" t="s">
        <v>13</v>
      </c>
      <c r="D357" s="140">
        <v>0</v>
      </c>
      <c r="E357" s="140">
        <v>0.66473348291362344</v>
      </c>
      <c r="F357" s="140">
        <v>0.68964227723279592</v>
      </c>
      <c r="G357" s="140">
        <v>0.71589898207405445</v>
      </c>
      <c r="H357" s="140">
        <v>0.74474658163446983</v>
      </c>
      <c r="I357" s="140">
        <v>0.77630089828909576</v>
      </c>
      <c r="J357" s="140">
        <v>0.80410589762092999</v>
      </c>
      <c r="K357" s="140">
        <v>0.83083714578533907</v>
      </c>
      <c r="L357" s="140">
        <v>0.86470310660027006</v>
      </c>
      <c r="M357" s="140">
        <v>0.89748888614452094</v>
      </c>
      <c r="N357" s="140">
        <v>0.92585303260081708</v>
      </c>
      <c r="O357" s="140">
        <v>0.14839972706765747</v>
      </c>
      <c r="P357" s="140">
        <v>0.2357715204939248</v>
      </c>
      <c r="Q357" s="140">
        <v>0.24612103031698176</v>
      </c>
      <c r="R357" s="140">
        <v>0.2631572560526157</v>
      </c>
      <c r="S357" s="140">
        <v>0.27666553911443786</v>
      </c>
      <c r="T357" s="140">
        <v>0.29107300695182858</v>
      </c>
      <c r="U357" s="140">
        <v>0.20000000000000018</v>
      </c>
      <c r="V357" s="140">
        <v>0.20810071446347622</v>
      </c>
      <c r="W357" s="140">
        <v>0.21488694628181096</v>
      </c>
      <c r="X357" s="140">
        <v>0.22640375653671843</v>
      </c>
      <c r="Y357" s="140">
        <v>0.36564359127624635</v>
      </c>
      <c r="Z357" s="140">
        <v>0.40750787080892031</v>
      </c>
      <c r="AB357" s="139">
        <f t="shared" si="22"/>
        <v>10.998041250260536</v>
      </c>
    </row>
    <row r="358" spans="1:28" x14ac:dyDescent="0.2">
      <c r="A358" s="127" t="str">
        <f>'Scenario List'!$A$10</f>
        <v>8- VERs Assigned to Washington</v>
      </c>
      <c r="B358" s="128" t="s">
        <v>14</v>
      </c>
      <c r="D358" s="140">
        <v>0</v>
      </c>
      <c r="E358" s="140">
        <v>0</v>
      </c>
      <c r="F358" s="140">
        <v>0</v>
      </c>
      <c r="G358" s="140">
        <v>0</v>
      </c>
      <c r="H358" s="140">
        <v>0</v>
      </c>
      <c r="I358" s="140">
        <v>0</v>
      </c>
      <c r="J358" s="140">
        <v>0</v>
      </c>
      <c r="K358" s="140">
        <v>0</v>
      </c>
      <c r="L358" s="140">
        <v>0</v>
      </c>
      <c r="M358" s="140">
        <v>0</v>
      </c>
      <c r="N358" s="140">
        <v>0</v>
      </c>
      <c r="O358" s="140">
        <v>0</v>
      </c>
      <c r="P358" s="140">
        <v>0</v>
      </c>
      <c r="Q358" s="140">
        <v>0</v>
      </c>
      <c r="R358" s="140">
        <v>0</v>
      </c>
      <c r="S358" s="140">
        <v>0</v>
      </c>
      <c r="T358" s="140">
        <v>0</v>
      </c>
      <c r="U358" s="140">
        <v>0.10000000000000009</v>
      </c>
      <c r="V358" s="140">
        <v>0.10405035723173812</v>
      </c>
      <c r="W358" s="140">
        <v>0.10744347314090548</v>
      </c>
      <c r="X358" s="140">
        <v>0.11320187826835922</v>
      </c>
      <c r="Y358" s="140">
        <v>0</v>
      </c>
      <c r="Z358" s="140">
        <v>0</v>
      </c>
      <c r="AB358" s="139">
        <f t="shared" si="22"/>
        <v>0.42469570864100287</v>
      </c>
    </row>
    <row r="359" spans="1:28" x14ac:dyDescent="0.2">
      <c r="A359" s="127" t="str">
        <f>'Scenario List'!$A$10</f>
        <v>8- VERs Assigned to Washington</v>
      </c>
      <c r="B359" s="128" t="s">
        <v>15</v>
      </c>
      <c r="D359" s="140">
        <v>0</v>
      </c>
      <c r="E359" s="140">
        <v>0</v>
      </c>
      <c r="F359" s="140">
        <v>0</v>
      </c>
      <c r="G359" s="140">
        <v>0</v>
      </c>
      <c r="H359" s="140">
        <v>0</v>
      </c>
      <c r="I359" s="140">
        <v>0</v>
      </c>
      <c r="J359" s="140">
        <v>0</v>
      </c>
      <c r="K359" s="140">
        <v>199.99999999999997</v>
      </c>
      <c r="L359" s="140">
        <v>0</v>
      </c>
      <c r="M359" s="140">
        <v>200</v>
      </c>
      <c r="N359" s="140">
        <v>0</v>
      </c>
      <c r="O359" s="140">
        <v>0</v>
      </c>
      <c r="P359" s="140">
        <v>0</v>
      </c>
      <c r="Q359" s="140">
        <v>0</v>
      </c>
      <c r="R359" s="140">
        <v>0</v>
      </c>
      <c r="S359" s="140">
        <v>0</v>
      </c>
      <c r="T359" s="140">
        <v>0</v>
      </c>
      <c r="U359" s="140">
        <v>0</v>
      </c>
      <c r="V359" s="140">
        <v>140</v>
      </c>
      <c r="W359" s="140">
        <v>105</v>
      </c>
      <c r="X359" s="140">
        <v>0</v>
      </c>
      <c r="Y359" s="140">
        <v>0</v>
      </c>
      <c r="Z359" s="140">
        <v>200</v>
      </c>
      <c r="AB359" s="139">
        <f t="shared" si="22"/>
        <v>845</v>
      </c>
    </row>
    <row r="360" spans="1:28" x14ac:dyDescent="0.2">
      <c r="A360" s="127" t="str">
        <f>'Scenario List'!$A$10</f>
        <v>8- VERs Assigned to Washington</v>
      </c>
      <c r="B360" s="128" t="s">
        <v>16</v>
      </c>
      <c r="D360" s="140">
        <v>0</v>
      </c>
      <c r="E360" s="140">
        <v>0</v>
      </c>
      <c r="F360" s="140">
        <v>0</v>
      </c>
      <c r="G360" s="140">
        <v>0</v>
      </c>
      <c r="H360" s="140">
        <v>0</v>
      </c>
      <c r="I360" s="140">
        <v>0</v>
      </c>
      <c r="J360" s="140">
        <v>0</v>
      </c>
      <c r="K360" s="140">
        <v>0</v>
      </c>
      <c r="L360" s="140">
        <v>0</v>
      </c>
      <c r="M360" s="140">
        <v>0</v>
      </c>
      <c r="N360" s="140">
        <v>0</v>
      </c>
      <c r="O360" s="140">
        <v>0</v>
      </c>
      <c r="P360" s="140">
        <v>0</v>
      </c>
      <c r="Q360" s="140">
        <v>0</v>
      </c>
      <c r="R360" s="140">
        <v>0</v>
      </c>
      <c r="S360" s="140">
        <v>0</v>
      </c>
      <c r="T360" s="140">
        <v>50</v>
      </c>
      <c r="U360" s="140">
        <v>0</v>
      </c>
      <c r="V360" s="140">
        <v>0</v>
      </c>
      <c r="W360" s="140">
        <v>0</v>
      </c>
      <c r="X360" s="140">
        <v>0</v>
      </c>
      <c r="Y360" s="140">
        <v>0</v>
      </c>
      <c r="Z360" s="140">
        <v>0</v>
      </c>
      <c r="AB360" s="139">
        <f t="shared" si="22"/>
        <v>50</v>
      </c>
    </row>
    <row r="361" spans="1:28" x14ac:dyDescent="0.2">
      <c r="A361" s="127" t="str">
        <f>'Scenario List'!$A$10</f>
        <v>8- VERs Assigned to Washington</v>
      </c>
      <c r="B361" s="128" t="s">
        <v>85</v>
      </c>
      <c r="D361" s="140">
        <v>0</v>
      </c>
      <c r="E361" s="140">
        <v>0</v>
      </c>
      <c r="F361" s="140">
        <v>0</v>
      </c>
      <c r="G361" s="140">
        <v>0</v>
      </c>
      <c r="H361" s="140">
        <v>0</v>
      </c>
      <c r="I361" s="140">
        <v>0</v>
      </c>
      <c r="J361" s="140">
        <v>0</v>
      </c>
      <c r="K361" s="140">
        <v>0</v>
      </c>
      <c r="L361" s="140">
        <v>0</v>
      </c>
      <c r="M361" s="140">
        <v>0</v>
      </c>
      <c r="N361" s="140">
        <v>0</v>
      </c>
      <c r="O361" s="140">
        <v>0</v>
      </c>
      <c r="P361" s="140">
        <v>0</v>
      </c>
      <c r="Q361" s="140">
        <v>74</v>
      </c>
      <c r="R361" s="140">
        <v>0</v>
      </c>
      <c r="S361" s="140">
        <v>0</v>
      </c>
      <c r="T361" s="140">
        <v>0</v>
      </c>
      <c r="U361" s="140">
        <v>0</v>
      </c>
      <c r="V361" s="140">
        <v>74</v>
      </c>
      <c r="W361" s="140">
        <v>199.91855458257956</v>
      </c>
      <c r="X361" s="140">
        <v>0</v>
      </c>
      <c r="Y361" s="140">
        <v>0</v>
      </c>
      <c r="Z361" s="140">
        <v>334.11861858144164</v>
      </c>
      <c r="AB361" s="139">
        <f t="shared" si="22"/>
        <v>682.03717316402117</v>
      </c>
    </row>
    <row r="362" spans="1:28" x14ac:dyDescent="0.2">
      <c r="A362" s="127" t="str">
        <f>'Scenario List'!$A$10</f>
        <v>8- VERs Assigned to Washington</v>
      </c>
      <c r="B362" s="128" t="s">
        <v>86</v>
      </c>
      <c r="D362" s="140">
        <v>0</v>
      </c>
      <c r="E362" s="140">
        <v>0</v>
      </c>
      <c r="F362" s="140">
        <v>0</v>
      </c>
      <c r="G362" s="140">
        <v>0</v>
      </c>
      <c r="H362" s="140">
        <v>0</v>
      </c>
      <c r="I362" s="140">
        <v>0</v>
      </c>
      <c r="J362" s="140">
        <v>0</v>
      </c>
      <c r="K362" s="140">
        <v>0</v>
      </c>
      <c r="L362" s="140">
        <v>0</v>
      </c>
      <c r="M362" s="140">
        <v>0</v>
      </c>
      <c r="N362" s="140">
        <v>0</v>
      </c>
      <c r="O362" s="140">
        <v>0</v>
      </c>
      <c r="P362" s="140">
        <v>0</v>
      </c>
      <c r="Q362" s="140">
        <v>0</v>
      </c>
      <c r="R362" s="140">
        <v>0</v>
      </c>
      <c r="S362" s="140">
        <v>0</v>
      </c>
      <c r="T362" s="140">
        <v>0</v>
      </c>
      <c r="U362" s="140">
        <v>0</v>
      </c>
      <c r="V362" s="140">
        <v>0</v>
      </c>
      <c r="W362" s="140">
        <v>0</v>
      </c>
      <c r="X362" s="140">
        <v>0</v>
      </c>
      <c r="Y362" s="140">
        <v>0</v>
      </c>
      <c r="Z362" s="140">
        <v>20</v>
      </c>
      <c r="AB362" s="139">
        <f t="shared" si="22"/>
        <v>20</v>
      </c>
    </row>
    <row r="363" spans="1:28" x14ac:dyDescent="0.2">
      <c r="A363" s="127" t="str">
        <f>'Scenario List'!$A$10</f>
        <v>8- VERs Assigned to Washington</v>
      </c>
      <c r="B363" s="128" t="s">
        <v>87</v>
      </c>
      <c r="D363" s="140">
        <v>0</v>
      </c>
      <c r="E363" s="140">
        <v>0</v>
      </c>
      <c r="F363" s="140">
        <v>0</v>
      </c>
      <c r="G363" s="140">
        <v>0</v>
      </c>
      <c r="H363" s="140">
        <v>0</v>
      </c>
      <c r="I363" s="140">
        <v>0</v>
      </c>
      <c r="J363" s="140">
        <v>0</v>
      </c>
      <c r="K363" s="140">
        <v>0</v>
      </c>
      <c r="L363" s="140">
        <v>0</v>
      </c>
      <c r="M363" s="140">
        <v>0</v>
      </c>
      <c r="N363" s="140">
        <v>0</v>
      </c>
      <c r="O363" s="140">
        <v>0</v>
      </c>
      <c r="P363" s="140">
        <v>0</v>
      </c>
      <c r="Q363" s="140">
        <v>0</v>
      </c>
      <c r="R363" s="140">
        <v>0</v>
      </c>
      <c r="S363" s="140">
        <v>0</v>
      </c>
      <c r="T363" s="140">
        <v>0</v>
      </c>
      <c r="U363" s="140">
        <v>0</v>
      </c>
      <c r="V363" s="140">
        <v>0</v>
      </c>
      <c r="W363" s="140">
        <v>0</v>
      </c>
      <c r="X363" s="140">
        <v>0</v>
      </c>
      <c r="Y363" s="140">
        <v>0</v>
      </c>
      <c r="Z363" s="140">
        <v>0</v>
      </c>
      <c r="AB363" s="139">
        <f t="shared" si="22"/>
        <v>0</v>
      </c>
    </row>
    <row r="364" spans="1:28" x14ac:dyDescent="0.2">
      <c r="A364" s="127" t="str">
        <f>'Scenario List'!$A$10</f>
        <v>8- VERs Assigned to Washington</v>
      </c>
      <c r="B364" s="128" t="s">
        <v>17</v>
      </c>
      <c r="D364" s="140">
        <v>0</v>
      </c>
      <c r="E364" s="140">
        <v>0</v>
      </c>
      <c r="F364" s="140">
        <v>6.7666466459931875</v>
      </c>
      <c r="G364" s="140">
        <v>0</v>
      </c>
      <c r="H364" s="140">
        <v>0</v>
      </c>
      <c r="I364" s="140">
        <v>0</v>
      </c>
      <c r="J364" s="140">
        <v>0</v>
      </c>
      <c r="K364" s="140">
        <v>0</v>
      </c>
      <c r="L364" s="140">
        <v>0</v>
      </c>
      <c r="M364" s="140">
        <v>0</v>
      </c>
      <c r="N364" s="140">
        <v>0</v>
      </c>
      <c r="O364" s="140">
        <v>0</v>
      </c>
      <c r="P364" s="140">
        <v>0</v>
      </c>
      <c r="Q364" s="140">
        <v>0</v>
      </c>
      <c r="R364" s="140">
        <v>0</v>
      </c>
      <c r="S364" s="140">
        <v>0</v>
      </c>
      <c r="T364" s="140">
        <v>0</v>
      </c>
      <c r="U364" s="140">
        <v>0</v>
      </c>
      <c r="V364" s="140">
        <v>0</v>
      </c>
      <c r="W364" s="140">
        <v>0</v>
      </c>
      <c r="X364" s="140">
        <v>0</v>
      </c>
      <c r="Y364" s="140">
        <v>0</v>
      </c>
      <c r="Z364" s="140">
        <v>0</v>
      </c>
      <c r="AB364" s="139">
        <f t="shared" si="22"/>
        <v>6.7666466459931875</v>
      </c>
    </row>
    <row r="365" spans="1:28" x14ac:dyDescent="0.2">
      <c r="A365" s="127" t="str">
        <f>'Scenario List'!$A$10</f>
        <v>8- VERs Assigned to Washington</v>
      </c>
      <c r="B365" s="128" t="s">
        <v>18</v>
      </c>
      <c r="D365" s="140">
        <v>1.4862398261930119</v>
      </c>
      <c r="E365" s="140">
        <v>1.857491168895222</v>
      </c>
      <c r="F365" s="140">
        <v>2.096825073294716</v>
      </c>
      <c r="G365" s="140">
        <v>2.4741039541067149</v>
      </c>
      <c r="H365" s="140">
        <v>2.649325314525635</v>
      </c>
      <c r="I365" s="140">
        <v>2.8169959105237101</v>
      </c>
      <c r="J365" s="140">
        <v>2.8286533466315991</v>
      </c>
      <c r="K365" s="140">
        <v>2.6980685445624957</v>
      </c>
      <c r="L365" s="140">
        <v>3.0860830154534113</v>
      </c>
      <c r="M365" s="140">
        <v>3.2545611437565611</v>
      </c>
      <c r="N365" s="140">
        <v>3.131823273617016</v>
      </c>
      <c r="O365" s="140">
        <v>3.2066722851772163</v>
      </c>
      <c r="P365" s="140">
        <v>3.1491393834957186</v>
      </c>
      <c r="Q365" s="140">
        <v>3.1868777952685505</v>
      </c>
      <c r="R365" s="140">
        <v>2.8641720369073198</v>
      </c>
      <c r="S365" s="140">
        <v>2.5653234119777579</v>
      </c>
      <c r="T365" s="140">
        <v>2.456098697049562</v>
      </c>
      <c r="U365" s="140">
        <v>2.4649657835582275</v>
      </c>
      <c r="V365" s="140">
        <v>2.1858895783317891</v>
      </c>
      <c r="W365" s="140">
        <v>2.2573612194339603</v>
      </c>
      <c r="X365" s="140">
        <v>1.3734958196960747</v>
      </c>
      <c r="Y365" s="140">
        <v>1.5796269912303629</v>
      </c>
      <c r="Z365" s="140">
        <v>0.87449246605382314</v>
      </c>
      <c r="AB365" s="139">
        <f t="shared" si="22"/>
        <v>56.544286039740456</v>
      </c>
    </row>
    <row r="366" spans="1:28" x14ac:dyDescent="0.2">
      <c r="A366" s="127" t="str">
        <f>'Scenario List'!$A$10</f>
        <v>8- VERs Assigned to Washington</v>
      </c>
      <c r="B366" s="128" t="s">
        <v>19</v>
      </c>
      <c r="D366" s="140">
        <v>1.3932376913240929</v>
      </c>
      <c r="E366" s="140">
        <v>1.77344694982836</v>
      </c>
      <c r="F366" s="140">
        <v>2.045639733901675</v>
      </c>
      <c r="G366" s="140">
        <v>2.4818357802532773</v>
      </c>
      <c r="H366" s="140">
        <v>2.7175077863846235</v>
      </c>
      <c r="I366" s="140">
        <v>2.943000147513656</v>
      </c>
      <c r="J366" s="140">
        <v>3.0053074191847173</v>
      </c>
      <c r="K366" s="140">
        <v>2.9317256872927153</v>
      </c>
      <c r="L366" s="140">
        <v>3.3453647648465221</v>
      </c>
      <c r="M366" s="140">
        <v>3.5897869711756556</v>
      </c>
      <c r="N366" s="140">
        <v>3.507326848095591</v>
      </c>
      <c r="O366" s="140">
        <v>3.5804028798113201</v>
      </c>
      <c r="P366" s="140">
        <v>3.4913768750272496</v>
      </c>
      <c r="Q366" s="140">
        <v>3.4783374506088194</v>
      </c>
      <c r="R366" s="140">
        <v>3.0767629931102505</v>
      </c>
      <c r="S366" s="140">
        <v>2.659819901083246</v>
      </c>
      <c r="T366" s="140">
        <v>2.5231791130493946</v>
      </c>
      <c r="U366" s="140">
        <v>2.4593945540513147</v>
      </c>
      <c r="V366" s="140">
        <v>2.0865956893297337</v>
      </c>
      <c r="W366" s="140">
        <v>2.1484942762214914</v>
      </c>
      <c r="X366" s="140">
        <v>1.3441129233636744</v>
      </c>
      <c r="Y366" s="140">
        <v>1.5410817447537823</v>
      </c>
      <c r="Z366" s="140">
        <v>0.86086663626614524</v>
      </c>
      <c r="AB366" s="139">
        <f t="shared" si="22"/>
        <v>58.984604816477308</v>
      </c>
    </row>
    <row r="367" spans="1:28" x14ac:dyDescent="0.2">
      <c r="A367" s="127" t="str">
        <f>'Scenario List'!$A$10</f>
        <v>8- VERs Assigned to Washington</v>
      </c>
      <c r="B367" s="128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B367" s="139"/>
    </row>
    <row r="368" spans="1:28" x14ac:dyDescent="0.2">
      <c r="A368" s="127" t="str">
        <f>'Scenario List'!$A$10</f>
        <v>8- VERs Assigned to Washington</v>
      </c>
      <c r="B368" s="132" t="s">
        <v>8</v>
      </c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  <c r="AB368" s="139"/>
    </row>
    <row r="369" spans="1:28" x14ac:dyDescent="0.2">
      <c r="A369" s="127" t="str">
        <f>'Scenario List'!$A$10</f>
        <v>8- VERs Assigned to Washington</v>
      </c>
      <c r="B369" s="128" t="s">
        <v>12</v>
      </c>
      <c r="D369" s="140">
        <v>0</v>
      </c>
      <c r="E369" s="140">
        <v>0</v>
      </c>
      <c r="F369" s="140">
        <v>0</v>
      </c>
      <c r="G369" s="140">
        <v>46.359499999999997</v>
      </c>
      <c r="H369" s="140">
        <v>0</v>
      </c>
      <c r="I369" s="140">
        <v>0</v>
      </c>
      <c r="J369" s="140">
        <v>0</v>
      </c>
      <c r="K369" s="140">
        <v>0</v>
      </c>
      <c r="L369" s="140">
        <v>0</v>
      </c>
      <c r="M369" s="140">
        <v>0</v>
      </c>
      <c r="N369" s="140">
        <v>0</v>
      </c>
      <c r="O369" s="140">
        <v>0</v>
      </c>
      <c r="P369" s="140">
        <v>0</v>
      </c>
      <c r="Q369" s="140">
        <v>90.247500000000002</v>
      </c>
      <c r="R369" s="140">
        <v>0</v>
      </c>
      <c r="S369" s="140">
        <v>0</v>
      </c>
      <c r="T369" s="140">
        <v>0</v>
      </c>
      <c r="U369" s="140">
        <v>0</v>
      </c>
      <c r="V369" s="140">
        <v>0</v>
      </c>
      <c r="W369" s="140">
        <v>112.81317982069172</v>
      </c>
      <c r="X369" s="140">
        <v>0</v>
      </c>
      <c r="Y369" s="140">
        <v>0</v>
      </c>
      <c r="Z369" s="140">
        <v>68.542647015287812</v>
      </c>
      <c r="AB369" s="139">
        <f t="shared" ref="AB369:AB379" si="23">SUM(C369:Z369)</f>
        <v>317.96282683597951</v>
      </c>
    </row>
    <row r="370" spans="1:28" x14ac:dyDescent="0.2">
      <c r="A370" s="127" t="str">
        <f>'Scenario List'!$A$10</f>
        <v>8- VERs Assigned to Washington</v>
      </c>
      <c r="B370" s="128" t="s">
        <v>13</v>
      </c>
      <c r="D370" s="140">
        <v>0</v>
      </c>
      <c r="E370" s="140">
        <v>0</v>
      </c>
      <c r="F370" s="140">
        <v>0</v>
      </c>
      <c r="G370" s="140">
        <v>0</v>
      </c>
      <c r="H370" s="140">
        <v>0</v>
      </c>
      <c r="I370" s="140">
        <v>0</v>
      </c>
      <c r="J370" s="140">
        <v>0</v>
      </c>
      <c r="K370" s="140">
        <v>0</v>
      </c>
      <c r="L370" s="140">
        <v>0</v>
      </c>
      <c r="M370" s="140">
        <v>0</v>
      </c>
      <c r="N370" s="140">
        <v>0</v>
      </c>
      <c r="O370" s="140">
        <v>0</v>
      </c>
      <c r="P370" s="140">
        <v>0</v>
      </c>
      <c r="Q370" s="140">
        <v>0</v>
      </c>
      <c r="R370" s="140">
        <v>0</v>
      </c>
      <c r="S370" s="140">
        <v>0</v>
      </c>
      <c r="T370" s="140">
        <v>0</v>
      </c>
      <c r="U370" s="140">
        <v>0</v>
      </c>
      <c r="V370" s="140">
        <v>0</v>
      </c>
      <c r="W370" s="140">
        <v>0</v>
      </c>
      <c r="X370" s="140">
        <v>0</v>
      </c>
      <c r="Y370" s="140">
        <v>0</v>
      </c>
      <c r="Z370" s="140">
        <v>0</v>
      </c>
      <c r="AB370" s="139">
        <f t="shared" si="23"/>
        <v>0</v>
      </c>
    </row>
    <row r="371" spans="1:28" x14ac:dyDescent="0.2">
      <c r="A371" s="127" t="str">
        <f>'Scenario List'!$A$10</f>
        <v>8- VERs Assigned to Washington</v>
      </c>
      <c r="B371" s="128" t="s">
        <v>14</v>
      </c>
      <c r="D371" s="140">
        <v>0</v>
      </c>
      <c r="E371" s="140">
        <v>0</v>
      </c>
      <c r="F371" s="140">
        <v>0</v>
      </c>
      <c r="G371" s="140">
        <v>0</v>
      </c>
      <c r="H371" s="140">
        <v>0</v>
      </c>
      <c r="I371" s="140">
        <v>0</v>
      </c>
      <c r="J371" s="140">
        <v>0</v>
      </c>
      <c r="K371" s="140">
        <v>0</v>
      </c>
      <c r="L371" s="140">
        <v>0</v>
      </c>
      <c r="M371" s="140">
        <v>0</v>
      </c>
      <c r="N371" s="140">
        <v>0</v>
      </c>
      <c r="O371" s="140">
        <v>0</v>
      </c>
      <c r="P371" s="140">
        <v>0</v>
      </c>
      <c r="Q371" s="140">
        <v>0</v>
      </c>
      <c r="R371" s="140">
        <v>0</v>
      </c>
      <c r="S371" s="140">
        <v>0</v>
      </c>
      <c r="T371" s="140">
        <v>0</v>
      </c>
      <c r="U371" s="140">
        <v>0</v>
      </c>
      <c r="V371" s="140">
        <v>0</v>
      </c>
      <c r="W371" s="140">
        <v>0</v>
      </c>
      <c r="X371" s="140">
        <v>0</v>
      </c>
      <c r="Y371" s="140">
        <v>0</v>
      </c>
      <c r="Z371" s="140">
        <v>0</v>
      </c>
      <c r="AB371" s="139">
        <f t="shared" si="23"/>
        <v>0</v>
      </c>
    </row>
    <row r="372" spans="1:28" x14ac:dyDescent="0.2">
      <c r="A372" s="127" t="str">
        <f>'Scenario List'!$A$10</f>
        <v>8- VERs Assigned to Washington</v>
      </c>
      <c r="B372" s="128" t="s">
        <v>15</v>
      </c>
      <c r="D372" s="140">
        <v>0</v>
      </c>
      <c r="E372" s="140">
        <v>0</v>
      </c>
      <c r="F372" s="140">
        <v>0</v>
      </c>
      <c r="G372" s="140">
        <v>0</v>
      </c>
      <c r="H372" s="140">
        <v>0</v>
      </c>
      <c r="I372" s="140">
        <v>0</v>
      </c>
      <c r="J372" s="140">
        <v>0</v>
      </c>
      <c r="K372" s="140">
        <v>0</v>
      </c>
      <c r="L372" s="140">
        <v>0</v>
      </c>
      <c r="M372" s="140">
        <v>0</v>
      </c>
      <c r="N372" s="140">
        <v>0</v>
      </c>
      <c r="O372" s="140">
        <v>0</v>
      </c>
      <c r="P372" s="140">
        <v>0</v>
      </c>
      <c r="Q372" s="140">
        <v>0</v>
      </c>
      <c r="R372" s="140">
        <v>0</v>
      </c>
      <c r="S372" s="140">
        <v>0</v>
      </c>
      <c r="T372" s="140">
        <v>0</v>
      </c>
      <c r="U372" s="140">
        <v>0</v>
      </c>
      <c r="V372" s="140">
        <v>0</v>
      </c>
      <c r="W372" s="140">
        <v>0</v>
      </c>
      <c r="X372" s="140">
        <v>0</v>
      </c>
      <c r="Y372" s="140">
        <v>0</v>
      </c>
      <c r="Z372" s="140">
        <v>0</v>
      </c>
      <c r="AB372" s="139">
        <f t="shared" si="23"/>
        <v>0</v>
      </c>
    </row>
    <row r="373" spans="1:28" x14ac:dyDescent="0.2">
      <c r="A373" s="127" t="str">
        <f>'Scenario List'!$A$10</f>
        <v>8- VERs Assigned to Washington</v>
      </c>
      <c r="B373" s="128" t="s">
        <v>16</v>
      </c>
      <c r="D373" s="140">
        <v>0</v>
      </c>
      <c r="E373" s="140">
        <v>0</v>
      </c>
      <c r="F373" s="140">
        <v>0</v>
      </c>
      <c r="G373" s="140">
        <v>0</v>
      </c>
      <c r="H373" s="140">
        <v>0</v>
      </c>
      <c r="I373" s="140">
        <v>0</v>
      </c>
      <c r="J373" s="140">
        <v>0</v>
      </c>
      <c r="K373" s="140">
        <v>0</v>
      </c>
      <c r="L373" s="140">
        <v>0</v>
      </c>
      <c r="M373" s="140">
        <v>0</v>
      </c>
      <c r="N373" s="140">
        <v>0</v>
      </c>
      <c r="O373" s="140">
        <v>0</v>
      </c>
      <c r="P373" s="140">
        <v>0</v>
      </c>
      <c r="Q373" s="140">
        <v>0</v>
      </c>
      <c r="R373" s="140">
        <v>0</v>
      </c>
      <c r="S373" s="140">
        <v>0</v>
      </c>
      <c r="T373" s="140">
        <v>0</v>
      </c>
      <c r="U373" s="140">
        <v>0</v>
      </c>
      <c r="V373" s="140">
        <v>0</v>
      </c>
      <c r="W373" s="140">
        <v>0</v>
      </c>
      <c r="X373" s="140">
        <v>0</v>
      </c>
      <c r="Y373" s="140">
        <v>0</v>
      </c>
      <c r="Z373" s="140">
        <v>0</v>
      </c>
      <c r="AB373" s="139">
        <f t="shared" si="23"/>
        <v>0</v>
      </c>
    </row>
    <row r="374" spans="1:28" x14ac:dyDescent="0.2">
      <c r="A374" s="127" t="str">
        <f>'Scenario List'!$A$10</f>
        <v>8- VERs Assigned to Washington</v>
      </c>
      <c r="B374" s="128" t="s">
        <v>85</v>
      </c>
      <c r="D374" s="140">
        <v>0</v>
      </c>
      <c r="E374" s="140">
        <v>0</v>
      </c>
      <c r="F374" s="140">
        <v>0</v>
      </c>
      <c r="G374" s="140">
        <v>0</v>
      </c>
      <c r="H374" s="140">
        <v>0</v>
      </c>
      <c r="I374" s="140">
        <v>0</v>
      </c>
      <c r="J374" s="140">
        <v>0</v>
      </c>
      <c r="K374" s="140">
        <v>0</v>
      </c>
      <c r="L374" s="140">
        <v>0</v>
      </c>
      <c r="M374" s="140">
        <v>0</v>
      </c>
      <c r="N374" s="140">
        <v>0</v>
      </c>
      <c r="O374" s="140">
        <v>0</v>
      </c>
      <c r="P374" s="140">
        <v>0</v>
      </c>
      <c r="Q374" s="140">
        <v>0</v>
      </c>
      <c r="R374" s="140">
        <v>0</v>
      </c>
      <c r="S374" s="140">
        <v>0</v>
      </c>
      <c r="T374" s="140">
        <v>0</v>
      </c>
      <c r="U374" s="140">
        <v>0</v>
      </c>
      <c r="V374" s="140">
        <v>0</v>
      </c>
      <c r="W374" s="140">
        <v>0</v>
      </c>
      <c r="X374" s="140">
        <v>0</v>
      </c>
      <c r="Y374" s="140">
        <v>0</v>
      </c>
      <c r="Z374" s="140">
        <v>0</v>
      </c>
      <c r="AB374" s="139">
        <f t="shared" si="23"/>
        <v>0</v>
      </c>
    </row>
    <row r="375" spans="1:28" x14ac:dyDescent="0.2">
      <c r="A375" s="127" t="str">
        <f>'Scenario List'!$A$10</f>
        <v>8- VERs Assigned to Washington</v>
      </c>
      <c r="B375" s="128" t="s">
        <v>86</v>
      </c>
      <c r="D375" s="140">
        <v>0</v>
      </c>
      <c r="E375" s="140">
        <v>0</v>
      </c>
      <c r="F375" s="140">
        <v>0</v>
      </c>
      <c r="G375" s="140">
        <v>0</v>
      </c>
      <c r="H375" s="140">
        <v>0</v>
      </c>
      <c r="I375" s="140">
        <v>0</v>
      </c>
      <c r="J375" s="140">
        <v>0</v>
      </c>
      <c r="K375" s="140">
        <v>0</v>
      </c>
      <c r="L375" s="140">
        <v>0</v>
      </c>
      <c r="M375" s="140">
        <v>0</v>
      </c>
      <c r="N375" s="140">
        <v>0</v>
      </c>
      <c r="O375" s="140">
        <v>0</v>
      </c>
      <c r="P375" s="140">
        <v>0</v>
      </c>
      <c r="Q375" s="140">
        <v>0</v>
      </c>
      <c r="R375" s="140">
        <v>0</v>
      </c>
      <c r="S375" s="140">
        <v>0</v>
      </c>
      <c r="T375" s="140">
        <v>0</v>
      </c>
      <c r="U375" s="140">
        <v>0</v>
      </c>
      <c r="V375" s="140">
        <v>0</v>
      </c>
      <c r="W375" s="140">
        <v>0</v>
      </c>
      <c r="X375" s="140">
        <v>0</v>
      </c>
      <c r="Y375" s="140">
        <v>0</v>
      </c>
      <c r="Z375" s="140">
        <v>0</v>
      </c>
      <c r="AB375" s="139">
        <f t="shared" si="23"/>
        <v>0</v>
      </c>
    </row>
    <row r="376" spans="1:28" x14ac:dyDescent="0.2">
      <c r="A376" s="127" t="str">
        <f>'Scenario List'!$A$10</f>
        <v>8- VERs Assigned to Washington</v>
      </c>
      <c r="B376" s="128" t="s">
        <v>87</v>
      </c>
      <c r="D376" s="140">
        <v>0</v>
      </c>
      <c r="E376" s="140">
        <v>0</v>
      </c>
      <c r="F376" s="140">
        <v>0</v>
      </c>
      <c r="G376" s="140">
        <v>0</v>
      </c>
      <c r="H376" s="140">
        <v>0</v>
      </c>
      <c r="I376" s="140">
        <v>0</v>
      </c>
      <c r="J376" s="140">
        <v>0</v>
      </c>
      <c r="K376" s="140">
        <v>0</v>
      </c>
      <c r="L376" s="140">
        <v>0</v>
      </c>
      <c r="M376" s="140">
        <v>0</v>
      </c>
      <c r="N376" s="140">
        <v>0</v>
      </c>
      <c r="O376" s="140">
        <v>0</v>
      </c>
      <c r="P376" s="140">
        <v>0</v>
      </c>
      <c r="Q376" s="140">
        <v>0</v>
      </c>
      <c r="R376" s="140">
        <v>0</v>
      </c>
      <c r="S376" s="140">
        <v>0</v>
      </c>
      <c r="T376" s="140">
        <v>0</v>
      </c>
      <c r="U376" s="140">
        <v>0</v>
      </c>
      <c r="V376" s="140">
        <v>0</v>
      </c>
      <c r="W376" s="140">
        <v>0</v>
      </c>
      <c r="X376" s="140">
        <v>0</v>
      </c>
      <c r="Y376" s="140">
        <v>0</v>
      </c>
      <c r="Z376" s="140">
        <v>0</v>
      </c>
      <c r="AB376" s="139">
        <f t="shared" si="23"/>
        <v>0</v>
      </c>
    </row>
    <row r="377" spans="1:28" x14ac:dyDescent="0.2">
      <c r="A377" s="127" t="str">
        <f>'Scenario List'!$A$10</f>
        <v>8- VERs Assigned to Washington</v>
      </c>
      <c r="B377" s="128" t="s">
        <v>17</v>
      </c>
      <c r="D377" s="140">
        <v>0</v>
      </c>
      <c r="E377" s="140">
        <v>0</v>
      </c>
      <c r="F377" s="140">
        <v>0</v>
      </c>
      <c r="G377" s="140">
        <v>0</v>
      </c>
      <c r="H377" s="140">
        <v>0</v>
      </c>
      <c r="I377" s="140">
        <v>0</v>
      </c>
      <c r="J377" s="140">
        <v>0</v>
      </c>
      <c r="K377" s="140">
        <v>0</v>
      </c>
      <c r="L377" s="140">
        <v>0</v>
      </c>
      <c r="M377" s="140">
        <v>0</v>
      </c>
      <c r="N377" s="140">
        <v>0</v>
      </c>
      <c r="O377" s="140">
        <v>0</v>
      </c>
      <c r="P377" s="140">
        <v>0</v>
      </c>
      <c r="Q377" s="140">
        <v>0</v>
      </c>
      <c r="R377" s="140">
        <v>0</v>
      </c>
      <c r="S377" s="140">
        <v>0</v>
      </c>
      <c r="T377" s="140">
        <v>0</v>
      </c>
      <c r="U377" s="140">
        <v>0</v>
      </c>
      <c r="V377" s="140">
        <v>0</v>
      </c>
      <c r="W377" s="140">
        <v>0</v>
      </c>
      <c r="X377" s="140">
        <v>0</v>
      </c>
      <c r="Y377" s="140">
        <v>0</v>
      </c>
      <c r="Z377" s="140">
        <v>0</v>
      </c>
      <c r="AB377" s="139">
        <f t="shared" si="23"/>
        <v>0</v>
      </c>
    </row>
    <row r="378" spans="1:28" x14ac:dyDescent="0.2">
      <c r="A378" s="127" t="str">
        <f>'Scenario List'!$A$10</f>
        <v>8- VERs Assigned to Washington</v>
      </c>
      <c r="B378" s="128" t="s">
        <v>18</v>
      </c>
      <c r="D378" s="140">
        <v>0.66969956988558976</v>
      </c>
      <c r="E378" s="140">
        <v>0.82177595733487541</v>
      </c>
      <c r="F378" s="140">
        <v>0.94723833148918835</v>
      </c>
      <c r="G378" s="140">
        <v>1.1010177983515224</v>
      </c>
      <c r="H378" s="140">
        <v>1.1837128409502808</v>
      </c>
      <c r="I378" s="140">
        <v>1.2523206334320482</v>
      </c>
      <c r="J378" s="140">
        <v>1.2444121409666309</v>
      </c>
      <c r="K378" s="140">
        <v>1.2228617507681099</v>
      </c>
      <c r="L378" s="140">
        <v>1.3345337472067413</v>
      </c>
      <c r="M378" s="140">
        <v>1.3918620503743249</v>
      </c>
      <c r="N378" s="140">
        <v>1.3149124388616436</v>
      </c>
      <c r="O378" s="140">
        <v>1.343898225140828</v>
      </c>
      <c r="P378" s="140">
        <v>1.3078339850022846</v>
      </c>
      <c r="Q378" s="140">
        <v>1.3185464211082927</v>
      </c>
      <c r="R378" s="140">
        <v>1.1803132530375535</v>
      </c>
      <c r="S378" s="140">
        <v>1.0411104662158657</v>
      </c>
      <c r="T378" s="140">
        <v>1.0006020054061722</v>
      </c>
      <c r="U378" s="140">
        <v>1.0060697421544056</v>
      </c>
      <c r="V378" s="140">
        <v>0.86574807238951124</v>
      </c>
      <c r="W378" s="140">
        <v>0.91473424862543951</v>
      </c>
      <c r="X378" s="140">
        <v>0.50554121672667662</v>
      </c>
      <c r="Y378" s="140">
        <v>0.56717773512879077</v>
      </c>
      <c r="Z378" s="140">
        <v>0.34439454248185086</v>
      </c>
      <c r="AB378" s="139">
        <f>SUM(C378:Z378)</f>
        <v>23.880317173038627</v>
      </c>
    </row>
    <row r="379" spans="1:28" x14ac:dyDescent="0.2">
      <c r="A379" s="127" t="str">
        <f>'Scenario List'!$A$10</f>
        <v>8- VERs Assigned to Washington</v>
      </c>
      <c r="B379" s="128" t="s">
        <v>19</v>
      </c>
      <c r="D379" s="140">
        <v>0.61894216829565263</v>
      </c>
      <c r="E379" s="140">
        <v>0.77737395987342528</v>
      </c>
      <c r="F379" s="140">
        <v>0.91523963171104072</v>
      </c>
      <c r="G379" s="140">
        <v>1.0919628603416598</v>
      </c>
      <c r="H379" s="140">
        <v>1.1960252635104083</v>
      </c>
      <c r="I379" s="140">
        <v>1.2872761927942786</v>
      </c>
      <c r="J379" s="140">
        <v>1.2992621884582842</v>
      </c>
      <c r="K379" s="140">
        <v>1.2951182706669755</v>
      </c>
      <c r="L379" s="140">
        <v>1.416998428229137</v>
      </c>
      <c r="M379" s="140">
        <v>1.4933490256673636</v>
      </c>
      <c r="N379" s="140">
        <v>1.42709620876653</v>
      </c>
      <c r="O379" s="140">
        <v>1.4556151543010234</v>
      </c>
      <c r="P379" s="140">
        <v>1.4037200392710396</v>
      </c>
      <c r="Q379" s="140">
        <v>1.3939079610901643</v>
      </c>
      <c r="R379" s="140">
        <v>1.2246081695036146</v>
      </c>
      <c r="S379" s="140">
        <v>1.0620079989087507</v>
      </c>
      <c r="T379" s="140">
        <v>1.0191154200454839</v>
      </c>
      <c r="U379" s="140">
        <v>0.99373546113055866</v>
      </c>
      <c r="V379" s="140">
        <v>0.82685959628775052</v>
      </c>
      <c r="W379" s="140">
        <v>0.86230412632393438</v>
      </c>
      <c r="X379" s="140">
        <v>0.49045281136725905</v>
      </c>
      <c r="Y379" s="140">
        <v>0.55584665795312915</v>
      </c>
      <c r="Z379" s="140">
        <v>0.33392445840099683</v>
      </c>
      <c r="AB379" s="139">
        <f t="shared" si="23"/>
        <v>24.440742052898461</v>
      </c>
    </row>
    <row r="380" spans="1:28" x14ac:dyDescent="0.2">
      <c r="A380" s="127" t="str">
        <f>'Scenario List'!$A$10</f>
        <v>8- VERs Assigned to Washington</v>
      </c>
      <c r="B380" s="128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  <c r="AB380" s="139"/>
    </row>
    <row r="381" spans="1:28" x14ac:dyDescent="0.2">
      <c r="A381" s="127" t="str">
        <f>'Scenario List'!$A$10</f>
        <v>8- VERs Assigned to Washington</v>
      </c>
      <c r="B381" s="131" t="s">
        <v>31</v>
      </c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  <c r="AB381" s="139"/>
    </row>
    <row r="382" spans="1:28" x14ac:dyDescent="0.2">
      <c r="A382" s="127" t="str">
        <f>'Scenario List'!$A$10</f>
        <v>8- VERs Assigned to Washington</v>
      </c>
      <c r="B382" s="128" t="s">
        <v>1</v>
      </c>
      <c r="D382" s="140">
        <v>20.325994501651994</v>
      </c>
      <c r="E382" s="140">
        <v>44.291368370936205</v>
      </c>
      <c r="F382" s="140">
        <v>71.715389266667387</v>
      </c>
      <c r="G382" s="140">
        <v>101.30277882009874</v>
      </c>
      <c r="H382" s="140">
        <v>133.61181167563541</v>
      </c>
      <c r="I382" s="140">
        <v>168.78379720456908</v>
      </c>
      <c r="J382" s="140">
        <v>205.63143811205703</v>
      </c>
      <c r="K382" s="140">
        <v>241.4303544524613</v>
      </c>
      <c r="L382" s="140">
        <v>277.32538808683688</v>
      </c>
      <c r="M382" s="140">
        <v>311.502260385988</v>
      </c>
      <c r="N382" s="140">
        <v>342.11781922923029</v>
      </c>
      <c r="O382" s="140">
        <v>369.35288117643978</v>
      </c>
      <c r="P382" s="140">
        <v>393.46180024229403</v>
      </c>
      <c r="Q382" s="140">
        <v>414.9257152660004</v>
      </c>
      <c r="R382" s="140">
        <v>434.2037389619544</v>
      </c>
      <c r="S382" s="140">
        <v>449.56048651330565</v>
      </c>
      <c r="T382" s="140">
        <v>463.56054804352925</v>
      </c>
      <c r="U382" s="140">
        <v>476.01294980722923</v>
      </c>
      <c r="V382" s="140">
        <v>487.83067394625022</v>
      </c>
      <c r="W382" s="140">
        <v>499.01650154565914</v>
      </c>
      <c r="X382" s="140">
        <v>505.32623228281346</v>
      </c>
      <c r="Y382" s="140">
        <v>511.50149889711292</v>
      </c>
      <c r="Z382" s="140">
        <v>516.19810915626692</v>
      </c>
      <c r="AB382" s="139">
        <f>Z382/8.76</f>
        <v>58.926724789528187</v>
      </c>
    </row>
    <row r="383" spans="1:28" x14ac:dyDescent="0.2">
      <c r="A383" s="127" t="str">
        <f>'Scenario List'!$A$10</f>
        <v>8- VERs Assigned to Washington</v>
      </c>
      <c r="B383" s="128" t="s">
        <v>2</v>
      </c>
      <c r="D383" s="140">
        <v>7.9231123378063613</v>
      </c>
      <c r="E383" s="140">
        <v>17.154289329347225</v>
      </c>
      <c r="F383" s="140">
        <v>27.657505687319748</v>
      </c>
      <c r="G383" s="140">
        <v>38.867264828350422</v>
      </c>
      <c r="H383" s="140">
        <v>51.004996515271628</v>
      </c>
      <c r="I383" s="140">
        <v>63.94035939167226</v>
      </c>
      <c r="J383" s="140">
        <v>77.279045041903188</v>
      </c>
      <c r="K383" s="140">
        <v>90.199148369766192</v>
      </c>
      <c r="L383" s="140">
        <v>103.27734980247267</v>
      </c>
      <c r="M383" s="140">
        <v>115.98678839123154</v>
      </c>
      <c r="N383" s="140">
        <v>126.89141400687259</v>
      </c>
      <c r="O383" s="140">
        <v>136.93371269900024</v>
      </c>
      <c r="P383" s="140">
        <v>146.19596339238225</v>
      </c>
      <c r="Q383" s="140">
        <v>154.79818353162491</v>
      </c>
      <c r="R383" s="140">
        <v>162.78686515044822</v>
      </c>
      <c r="S383" s="140">
        <v>169.25007661478045</v>
      </c>
      <c r="T383" s="140">
        <v>175.25311393032152</v>
      </c>
      <c r="U383" s="140">
        <v>180.65906207649712</v>
      </c>
      <c r="V383" s="140">
        <v>185.7498495385982</v>
      </c>
      <c r="W383" s="140">
        <v>190.61570268681342</v>
      </c>
      <c r="X383" s="140">
        <v>193.01504290212921</v>
      </c>
      <c r="Y383" s="140">
        <v>195.35604724782982</v>
      </c>
      <c r="Z383" s="140">
        <v>197.27450240439848</v>
      </c>
      <c r="AB383" s="139">
        <f>Z383/8.76</f>
        <v>22.519920365798914</v>
      </c>
    </row>
    <row r="384" spans="1:28" x14ac:dyDescent="0.2">
      <c r="A384" s="127" t="str">
        <f>'Scenario List'!$A$10</f>
        <v>8- VERs Assigned to Washington</v>
      </c>
      <c r="B384" s="128" t="s">
        <v>4</v>
      </c>
      <c r="D384" s="140">
        <v>28.249106839458356</v>
      </c>
      <c r="E384" s="140">
        <v>61.445657700283434</v>
      </c>
      <c r="F384" s="140">
        <v>99.372894953987128</v>
      </c>
      <c r="G384" s="140">
        <v>140.17004364844917</v>
      </c>
      <c r="H384" s="140">
        <v>184.61680819090702</v>
      </c>
      <c r="I384" s="140">
        <v>232.72415659624136</v>
      </c>
      <c r="J384" s="140">
        <v>282.91048315396023</v>
      </c>
      <c r="K384" s="140">
        <v>331.62950282222749</v>
      </c>
      <c r="L384" s="140">
        <v>380.60273788930954</v>
      </c>
      <c r="M384" s="140">
        <v>427.48904877721952</v>
      </c>
      <c r="N384" s="140">
        <v>469.00923323610289</v>
      </c>
      <c r="O384" s="140">
        <v>506.28659387544002</v>
      </c>
      <c r="P384" s="140">
        <v>539.65776363467626</v>
      </c>
      <c r="Q384" s="140">
        <v>569.72389879762534</v>
      </c>
      <c r="R384" s="140">
        <v>596.99060411240259</v>
      </c>
      <c r="S384" s="140">
        <v>618.81056312808607</v>
      </c>
      <c r="T384" s="140">
        <v>638.8136619738508</v>
      </c>
      <c r="U384" s="140">
        <v>656.67201188372633</v>
      </c>
      <c r="V384" s="140">
        <v>673.58052348484841</v>
      </c>
      <c r="W384" s="140">
        <v>689.63220423247253</v>
      </c>
      <c r="X384" s="140">
        <v>698.34127518494267</v>
      </c>
      <c r="Y384" s="140">
        <v>706.85754614494272</v>
      </c>
      <c r="Z384" s="140">
        <v>713.47261156066543</v>
      </c>
      <c r="AB384" s="139">
        <f>Z384/8.76</f>
        <v>81.446645155327104</v>
      </c>
    </row>
    <row r="385" spans="1:28" x14ac:dyDescent="0.2">
      <c r="A385" s="127" t="str">
        <f>'Scenario List'!$A$10</f>
        <v>8- VERs Assigned to Washington</v>
      </c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  <c r="AB385" s="139"/>
    </row>
    <row r="386" spans="1:28" x14ac:dyDescent="0.2">
      <c r="A386" s="127" t="str">
        <f>'Scenario List'!$A$10</f>
        <v>8- VERs Assigned to Washington</v>
      </c>
      <c r="B386" s="141" t="s">
        <v>32</v>
      </c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  <c r="AB386" s="139"/>
    </row>
    <row r="387" spans="1:28" x14ac:dyDescent="0.2">
      <c r="A387" s="127" t="str">
        <f>'Scenario List'!$A$10</f>
        <v>8- VERs Assigned to Washington</v>
      </c>
      <c r="B387" s="128" t="s">
        <v>1</v>
      </c>
      <c r="D387" s="140">
        <v>2.4462795089161591</v>
      </c>
      <c r="E387" s="140">
        <v>5.3325007774339479</v>
      </c>
      <c r="F387" s="140">
        <v>8.6321705598580465</v>
      </c>
      <c r="G387" s="140">
        <v>12.194604484525682</v>
      </c>
      <c r="H387" s="140">
        <v>16.085105236835915</v>
      </c>
      <c r="I387" s="140">
        <v>20.327178835033916</v>
      </c>
      <c r="J387" s="140">
        <v>24.758833701020237</v>
      </c>
      <c r="K387" s="140">
        <v>29.071208534539473</v>
      </c>
      <c r="L387" s="140">
        <v>33.396262145065073</v>
      </c>
      <c r="M387" s="140">
        <v>37.527413691860126</v>
      </c>
      <c r="N387" s="140">
        <v>41.206008938570704</v>
      </c>
      <c r="O387" s="140">
        <v>44.490362534553057</v>
      </c>
      <c r="P387" s="140">
        <v>47.398813432162036</v>
      </c>
      <c r="Q387" s="140">
        <v>50.0060812680155</v>
      </c>
      <c r="R387" s="140">
        <v>52.316926645094178</v>
      </c>
      <c r="S387" s="140">
        <v>54.172677461434176</v>
      </c>
      <c r="T387" s="140">
        <v>55.865450791930463</v>
      </c>
      <c r="U387" s="140">
        <v>57.392297259639591</v>
      </c>
      <c r="V387" s="140">
        <v>58.803031386425559</v>
      </c>
      <c r="W387" s="140">
        <v>60.158204919596052</v>
      </c>
      <c r="X387" s="140">
        <v>60.926043888598592</v>
      </c>
      <c r="Y387" s="140">
        <v>61.700703131283973</v>
      </c>
      <c r="Z387" s="140">
        <v>62.252485540804578</v>
      </c>
      <c r="AB387" s="139">
        <f>Z387</f>
        <v>62.252485540804578</v>
      </c>
    </row>
    <row r="388" spans="1:28" x14ac:dyDescent="0.2">
      <c r="A388" s="127" t="str">
        <f>'Scenario List'!$A$10</f>
        <v>8- VERs Assigned to Washington</v>
      </c>
      <c r="B388" s="128" t="s">
        <v>2</v>
      </c>
      <c r="D388" s="140">
        <v>0.95356452828132088</v>
      </c>
      <c r="E388" s="140">
        <v>2.0653067301731096</v>
      </c>
      <c r="F388" s="140">
        <v>3.3290526453874252</v>
      </c>
      <c r="G388" s="140">
        <v>4.6787553855631483</v>
      </c>
      <c r="H388" s="140">
        <v>6.1403309053566248</v>
      </c>
      <c r="I388" s="140">
        <v>7.7005443748582643</v>
      </c>
      <c r="J388" s="140">
        <v>9.3047008878257067</v>
      </c>
      <c r="K388" s="140">
        <v>10.861095978764599</v>
      </c>
      <c r="L388" s="140">
        <v>12.436933637575862</v>
      </c>
      <c r="M388" s="140">
        <v>13.973202587212361</v>
      </c>
      <c r="N388" s="140">
        <v>15.283298460088901</v>
      </c>
      <c r="O388" s="140">
        <v>16.494335990493049</v>
      </c>
      <c r="P388" s="140">
        <v>17.611659350675254</v>
      </c>
      <c r="Q388" s="140">
        <v>18.655991328137166</v>
      </c>
      <c r="R388" s="140">
        <v>19.61408370923095</v>
      </c>
      <c r="S388" s="140">
        <v>20.394874740629945</v>
      </c>
      <c r="T388" s="140">
        <v>21.120421601295551</v>
      </c>
      <c r="U388" s="140">
        <v>21.781841434231794</v>
      </c>
      <c r="V388" s="140">
        <v>22.390257144112027</v>
      </c>
      <c r="W388" s="140">
        <v>22.979397409920921</v>
      </c>
      <c r="X388" s="140">
        <v>23.271388310657503</v>
      </c>
      <c r="Y388" s="140">
        <v>23.56514204186913</v>
      </c>
      <c r="Z388" s="140">
        <v>23.790920366935129</v>
      </c>
      <c r="AB388" s="139">
        <f>Z388</f>
        <v>23.790920366935129</v>
      </c>
    </row>
    <row r="389" spans="1:28" x14ac:dyDescent="0.2">
      <c r="A389" s="127" t="str">
        <f>'Scenario List'!$A$10</f>
        <v>8- VERs Assigned to Washington</v>
      </c>
      <c r="B389" s="128" t="s">
        <v>4</v>
      </c>
      <c r="D389" s="140">
        <v>3.3998440371974801</v>
      </c>
      <c r="E389" s="140">
        <v>7.3978075076070571</v>
      </c>
      <c r="F389" s="140">
        <v>11.961223205245471</v>
      </c>
      <c r="G389" s="140">
        <v>16.87335987008883</v>
      </c>
      <c r="H389" s="140">
        <v>22.225436142192539</v>
      </c>
      <c r="I389" s="140">
        <v>28.02772320989218</v>
      </c>
      <c r="J389" s="140">
        <v>34.06353458884594</v>
      </c>
      <c r="K389" s="140">
        <v>39.932304513304075</v>
      </c>
      <c r="L389" s="140">
        <v>45.833195782640935</v>
      </c>
      <c r="M389" s="140">
        <v>51.500616279072489</v>
      </c>
      <c r="N389" s="140">
        <v>56.489307398659605</v>
      </c>
      <c r="O389" s="140">
        <v>60.984698525046106</v>
      </c>
      <c r="P389" s="140">
        <v>65.010472782837297</v>
      </c>
      <c r="Q389" s="140">
        <v>68.662072596152669</v>
      </c>
      <c r="R389" s="140">
        <v>71.931010354325124</v>
      </c>
      <c r="S389" s="140">
        <v>74.567552202064121</v>
      </c>
      <c r="T389" s="140">
        <v>76.985872393226018</v>
      </c>
      <c r="U389" s="140">
        <v>79.174138693871384</v>
      </c>
      <c r="V389" s="140">
        <v>81.193288530537586</v>
      </c>
      <c r="W389" s="140">
        <v>83.137602329516966</v>
      </c>
      <c r="X389" s="140">
        <v>84.197432199256099</v>
      </c>
      <c r="Y389" s="140">
        <v>85.26584517315311</v>
      </c>
      <c r="Z389" s="140">
        <v>86.043405907739711</v>
      </c>
      <c r="AB389" s="139">
        <f>Z389</f>
        <v>86.043405907739711</v>
      </c>
    </row>
    <row r="392" spans="1:28" x14ac:dyDescent="0.2">
      <c r="A392" s="127" t="str">
        <f>'Scenario List'!$A$11</f>
        <v>9- Low Economic Growth Loads</v>
      </c>
      <c r="B392" s="131" t="s">
        <v>11</v>
      </c>
    </row>
    <row r="393" spans="1:28" x14ac:dyDescent="0.2">
      <c r="A393" s="127" t="str">
        <f>'Scenario List'!$A$11</f>
        <v>9- Low Economic Growth Loads</v>
      </c>
      <c r="B393" s="128" t="s">
        <v>12</v>
      </c>
      <c r="D393" s="140">
        <v>0</v>
      </c>
      <c r="E393" s="140">
        <v>0</v>
      </c>
      <c r="F393" s="140">
        <v>0</v>
      </c>
      <c r="G393" s="140">
        <v>0</v>
      </c>
      <c r="H393" s="140">
        <v>0</v>
      </c>
      <c r="I393" s="140">
        <v>0</v>
      </c>
      <c r="J393" s="140">
        <v>0</v>
      </c>
      <c r="K393" s="140">
        <v>0</v>
      </c>
      <c r="L393" s="140">
        <v>0</v>
      </c>
      <c r="M393" s="140">
        <v>0</v>
      </c>
      <c r="N393" s="140">
        <v>0</v>
      </c>
      <c r="O393" s="140">
        <v>0</v>
      </c>
      <c r="P393" s="140">
        <v>0</v>
      </c>
      <c r="Q393" s="140">
        <v>0</v>
      </c>
      <c r="R393" s="140">
        <v>0</v>
      </c>
      <c r="S393" s="140">
        <v>0</v>
      </c>
      <c r="T393" s="140">
        <v>0</v>
      </c>
      <c r="U393" s="140">
        <v>0</v>
      </c>
      <c r="V393" s="140">
        <v>0</v>
      </c>
      <c r="W393" s="140">
        <v>0</v>
      </c>
      <c r="X393" s="140">
        <v>0</v>
      </c>
      <c r="Y393" s="140">
        <v>0</v>
      </c>
      <c r="Z393" s="140">
        <v>0</v>
      </c>
      <c r="AB393" s="139">
        <f>SUM(C393:Z393)</f>
        <v>0</v>
      </c>
    </row>
    <row r="394" spans="1:28" x14ac:dyDescent="0.2">
      <c r="A394" s="127" t="str">
        <f>'Scenario List'!$A$11</f>
        <v>9- Low Economic Growth Loads</v>
      </c>
      <c r="B394" s="128" t="s">
        <v>13</v>
      </c>
      <c r="D394" s="140">
        <v>0</v>
      </c>
      <c r="E394" s="140">
        <v>0</v>
      </c>
      <c r="F394" s="140">
        <v>0</v>
      </c>
      <c r="G394" s="140">
        <v>0</v>
      </c>
      <c r="H394" s="140">
        <v>0</v>
      </c>
      <c r="I394" s="140">
        <v>0</v>
      </c>
      <c r="J394" s="140">
        <v>0</v>
      </c>
      <c r="K394" s="140">
        <v>0</v>
      </c>
      <c r="L394" s="140">
        <v>0</v>
      </c>
      <c r="M394" s="140">
        <v>0</v>
      </c>
      <c r="N394" s="140">
        <v>0</v>
      </c>
      <c r="O394" s="140">
        <v>0</v>
      </c>
      <c r="P394" s="140">
        <v>0</v>
      </c>
      <c r="Q394" s="140">
        <v>0</v>
      </c>
      <c r="R394" s="140">
        <v>0</v>
      </c>
      <c r="S394" s="140">
        <v>0</v>
      </c>
      <c r="T394" s="140">
        <v>0</v>
      </c>
      <c r="U394" s="140">
        <v>0</v>
      </c>
      <c r="V394" s="140">
        <v>0</v>
      </c>
      <c r="W394" s="140">
        <v>0</v>
      </c>
      <c r="X394" s="140">
        <v>0</v>
      </c>
      <c r="Y394" s="140">
        <v>0</v>
      </c>
      <c r="Z394" s="140">
        <v>0</v>
      </c>
      <c r="AB394" s="139">
        <f t="shared" ref="AB394:AB401" si="24">SUM(C394:Z394)</f>
        <v>0</v>
      </c>
    </row>
    <row r="395" spans="1:28" x14ac:dyDescent="0.2">
      <c r="A395" s="127" t="str">
        <f>'Scenario List'!$A$11</f>
        <v>9- Low Economic Growth Loads</v>
      </c>
      <c r="B395" s="128" t="s">
        <v>14</v>
      </c>
      <c r="D395" s="140">
        <v>0</v>
      </c>
      <c r="E395" s="140">
        <v>0</v>
      </c>
      <c r="F395" s="140">
        <v>0</v>
      </c>
      <c r="G395" s="140">
        <v>0</v>
      </c>
      <c r="H395" s="140">
        <v>0</v>
      </c>
      <c r="I395" s="140">
        <v>0</v>
      </c>
      <c r="J395" s="140">
        <v>0</v>
      </c>
      <c r="K395" s="140">
        <v>0</v>
      </c>
      <c r="L395" s="140">
        <v>0</v>
      </c>
      <c r="M395" s="140">
        <v>0</v>
      </c>
      <c r="N395" s="140">
        <v>0</v>
      </c>
      <c r="O395" s="140">
        <v>0</v>
      </c>
      <c r="P395" s="140">
        <v>0</v>
      </c>
      <c r="Q395" s="140">
        <v>0</v>
      </c>
      <c r="R395" s="140">
        <v>0</v>
      </c>
      <c r="S395" s="140">
        <v>0</v>
      </c>
      <c r="T395" s="140">
        <v>0</v>
      </c>
      <c r="U395" s="140">
        <v>0</v>
      </c>
      <c r="V395" s="140">
        <v>0</v>
      </c>
      <c r="W395" s="140">
        <v>0</v>
      </c>
      <c r="X395" s="140">
        <v>0</v>
      </c>
      <c r="Y395" s="140">
        <v>0</v>
      </c>
      <c r="Z395" s="140">
        <v>0</v>
      </c>
      <c r="AB395" s="139">
        <f t="shared" si="24"/>
        <v>0</v>
      </c>
    </row>
    <row r="396" spans="1:28" x14ac:dyDescent="0.2">
      <c r="A396" s="127" t="str">
        <f>'Scenario List'!$A$11</f>
        <v>9- Low Economic Growth Loads</v>
      </c>
      <c r="B396" s="128" t="s">
        <v>15</v>
      </c>
      <c r="D396" s="140">
        <v>0</v>
      </c>
      <c r="E396" s="140">
        <v>0</v>
      </c>
      <c r="F396" s="140">
        <v>0</v>
      </c>
      <c r="G396" s="140">
        <v>0</v>
      </c>
      <c r="H396" s="140">
        <v>0</v>
      </c>
      <c r="I396" s="140">
        <v>0</v>
      </c>
      <c r="J396" s="140">
        <v>0</v>
      </c>
      <c r="K396" s="140">
        <v>0</v>
      </c>
      <c r="L396" s="140">
        <v>0</v>
      </c>
      <c r="M396" s="140">
        <v>0</v>
      </c>
      <c r="N396" s="140">
        <v>0</v>
      </c>
      <c r="O396" s="140">
        <v>0</v>
      </c>
      <c r="P396" s="140">
        <v>0</v>
      </c>
      <c r="Q396" s="140">
        <v>0</v>
      </c>
      <c r="R396" s="140">
        <v>0</v>
      </c>
      <c r="S396" s="140">
        <v>0</v>
      </c>
      <c r="T396" s="140">
        <v>0</v>
      </c>
      <c r="U396" s="140">
        <v>0</v>
      </c>
      <c r="V396" s="140">
        <v>0</v>
      </c>
      <c r="W396" s="140">
        <v>0</v>
      </c>
      <c r="X396" s="140">
        <v>0</v>
      </c>
      <c r="Y396" s="140">
        <v>0</v>
      </c>
      <c r="Z396" s="140">
        <v>0</v>
      </c>
      <c r="AB396" s="139">
        <f t="shared" si="24"/>
        <v>0</v>
      </c>
    </row>
    <row r="397" spans="1:28" x14ac:dyDescent="0.2">
      <c r="A397" s="127" t="str">
        <f>'Scenario List'!$A$11</f>
        <v>9- Low Economic Growth Loads</v>
      </c>
      <c r="B397" s="128" t="s">
        <v>16</v>
      </c>
      <c r="D397" s="140">
        <v>0</v>
      </c>
      <c r="E397" s="140">
        <v>0</v>
      </c>
      <c r="F397" s="140">
        <v>0</v>
      </c>
      <c r="G397" s="140">
        <v>0</v>
      </c>
      <c r="H397" s="140">
        <v>0</v>
      </c>
      <c r="I397" s="140">
        <v>0</v>
      </c>
      <c r="J397" s="140">
        <v>0</v>
      </c>
      <c r="K397" s="140">
        <v>0</v>
      </c>
      <c r="L397" s="140">
        <v>0</v>
      </c>
      <c r="M397" s="140">
        <v>0</v>
      </c>
      <c r="N397" s="140">
        <v>0</v>
      </c>
      <c r="O397" s="140">
        <v>0</v>
      </c>
      <c r="P397" s="140">
        <v>0</v>
      </c>
      <c r="Q397" s="140">
        <v>0</v>
      </c>
      <c r="R397" s="140">
        <v>61.59955776922402</v>
      </c>
      <c r="S397" s="140">
        <v>0</v>
      </c>
      <c r="T397" s="140">
        <v>0</v>
      </c>
      <c r="U397" s="140">
        <v>0</v>
      </c>
      <c r="V397" s="140">
        <v>0</v>
      </c>
      <c r="W397" s="140">
        <v>0</v>
      </c>
      <c r="X397" s="140">
        <v>0</v>
      </c>
      <c r="Y397" s="140">
        <v>0</v>
      </c>
      <c r="Z397" s="140">
        <v>0</v>
      </c>
      <c r="AB397" s="139">
        <f t="shared" si="24"/>
        <v>61.59955776922402</v>
      </c>
    </row>
    <row r="398" spans="1:28" x14ac:dyDescent="0.2">
      <c r="A398" s="127" t="str">
        <f>'Scenario List'!$A$11</f>
        <v>9- Low Economic Growth Loads</v>
      </c>
      <c r="B398" s="128" t="s">
        <v>85</v>
      </c>
      <c r="D398" s="140">
        <v>0</v>
      </c>
      <c r="E398" s="140">
        <v>0</v>
      </c>
      <c r="F398" s="140">
        <v>0</v>
      </c>
      <c r="G398" s="140">
        <v>0</v>
      </c>
      <c r="H398" s="140">
        <v>0</v>
      </c>
      <c r="I398" s="140">
        <v>0</v>
      </c>
      <c r="J398" s="140">
        <v>0</v>
      </c>
      <c r="K398" s="140">
        <v>0</v>
      </c>
      <c r="L398" s="140">
        <v>0</v>
      </c>
      <c r="M398" s="140">
        <v>0</v>
      </c>
      <c r="N398" s="140">
        <v>0</v>
      </c>
      <c r="O398" s="140">
        <v>0</v>
      </c>
      <c r="P398" s="140">
        <v>0</v>
      </c>
      <c r="Q398" s="140">
        <v>0</v>
      </c>
      <c r="R398" s="140">
        <v>0</v>
      </c>
      <c r="S398" s="140">
        <v>0</v>
      </c>
      <c r="T398" s="140">
        <v>0</v>
      </c>
      <c r="U398" s="140">
        <v>0</v>
      </c>
      <c r="V398" s="140">
        <v>0</v>
      </c>
      <c r="W398" s="140">
        <v>0</v>
      </c>
      <c r="X398" s="140">
        <v>0</v>
      </c>
      <c r="Y398" s="140">
        <v>0</v>
      </c>
      <c r="Z398" s="140">
        <v>0</v>
      </c>
      <c r="AB398" s="139">
        <f t="shared" si="24"/>
        <v>0</v>
      </c>
    </row>
    <row r="399" spans="1:28" x14ac:dyDescent="0.2">
      <c r="A399" s="127" t="str">
        <f>'Scenario List'!$A$11</f>
        <v>9- Low Economic Growth Loads</v>
      </c>
      <c r="B399" s="128" t="s">
        <v>86</v>
      </c>
      <c r="D399" s="140">
        <v>0</v>
      </c>
      <c r="E399" s="140">
        <v>0</v>
      </c>
      <c r="F399" s="140">
        <v>0</v>
      </c>
      <c r="G399" s="140">
        <v>0</v>
      </c>
      <c r="H399" s="140">
        <v>0</v>
      </c>
      <c r="I399" s="140">
        <v>0</v>
      </c>
      <c r="J399" s="140">
        <v>0</v>
      </c>
      <c r="K399" s="140">
        <v>0</v>
      </c>
      <c r="L399" s="140">
        <v>0</v>
      </c>
      <c r="M399" s="140">
        <v>0</v>
      </c>
      <c r="N399" s="140">
        <v>0</v>
      </c>
      <c r="O399" s="140">
        <v>0</v>
      </c>
      <c r="P399" s="140">
        <v>0</v>
      </c>
      <c r="Q399" s="140">
        <v>0</v>
      </c>
      <c r="R399" s="140">
        <v>0</v>
      </c>
      <c r="S399" s="140">
        <v>0</v>
      </c>
      <c r="T399" s="140">
        <v>0</v>
      </c>
      <c r="U399" s="140">
        <v>0</v>
      </c>
      <c r="V399" s="140">
        <v>0</v>
      </c>
      <c r="W399" s="140">
        <v>0</v>
      </c>
      <c r="X399" s="140">
        <v>0</v>
      </c>
      <c r="Y399" s="140">
        <v>0</v>
      </c>
      <c r="Z399" s="140">
        <v>0</v>
      </c>
      <c r="AB399" s="139">
        <f t="shared" si="24"/>
        <v>0</v>
      </c>
    </row>
    <row r="400" spans="1:28" x14ac:dyDescent="0.2">
      <c r="A400" s="127" t="str">
        <f>'Scenario List'!$A$11</f>
        <v>9- Low Economic Growth Loads</v>
      </c>
      <c r="B400" s="128" t="s">
        <v>87</v>
      </c>
      <c r="D400" s="140">
        <v>0</v>
      </c>
      <c r="E400" s="140">
        <v>0</v>
      </c>
      <c r="F400" s="140">
        <v>0</v>
      </c>
      <c r="G400" s="140">
        <v>0</v>
      </c>
      <c r="H400" s="140">
        <v>0</v>
      </c>
      <c r="I400" s="140">
        <v>0</v>
      </c>
      <c r="J400" s="140">
        <v>0</v>
      </c>
      <c r="K400" s="140">
        <v>0</v>
      </c>
      <c r="L400" s="140">
        <v>0</v>
      </c>
      <c r="M400" s="140">
        <v>0</v>
      </c>
      <c r="N400" s="140">
        <v>0</v>
      </c>
      <c r="O400" s="140">
        <v>0</v>
      </c>
      <c r="P400" s="140">
        <v>0</v>
      </c>
      <c r="Q400" s="140">
        <v>5</v>
      </c>
      <c r="R400" s="140">
        <v>0</v>
      </c>
      <c r="S400" s="140">
        <v>0</v>
      </c>
      <c r="T400" s="140">
        <v>0</v>
      </c>
      <c r="U400" s="140">
        <v>0</v>
      </c>
      <c r="V400" s="140">
        <v>0</v>
      </c>
      <c r="W400" s="140">
        <v>0</v>
      </c>
      <c r="X400" s="140">
        <v>0</v>
      </c>
      <c r="Y400" s="140">
        <v>0</v>
      </c>
      <c r="Z400" s="140">
        <v>0</v>
      </c>
      <c r="AB400" s="139">
        <f t="shared" si="24"/>
        <v>5</v>
      </c>
    </row>
    <row r="401" spans="1:28" x14ac:dyDescent="0.2">
      <c r="A401" s="127" t="str">
        <f>'Scenario List'!$A$11</f>
        <v>9- Low Economic Growth Loads</v>
      </c>
      <c r="B401" s="128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  <c r="AB401" s="139">
        <f t="shared" si="24"/>
        <v>0</v>
      </c>
    </row>
    <row r="402" spans="1:28" x14ac:dyDescent="0.2">
      <c r="A402" s="127" t="str">
        <f>'Scenario List'!$A$11</f>
        <v>9- Low Economic Growth Loads</v>
      </c>
      <c r="B402" s="128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  <c r="AB402" s="139"/>
    </row>
    <row r="403" spans="1:28" x14ac:dyDescent="0.2">
      <c r="A403" s="127" t="str">
        <f>'Scenario List'!$A$11</f>
        <v>9- Low Economic Growth Loads</v>
      </c>
      <c r="B403" s="128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  <c r="AB403" s="139"/>
    </row>
    <row r="404" spans="1:28" x14ac:dyDescent="0.2">
      <c r="A404" s="127" t="str">
        <f>'Scenario List'!$A$11</f>
        <v>9- Low Economic Growth Loads</v>
      </c>
      <c r="B404" s="131" t="s">
        <v>9</v>
      </c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  <c r="AB404" s="139"/>
    </row>
    <row r="405" spans="1:28" x14ac:dyDescent="0.2">
      <c r="A405" s="127" t="str">
        <f>'Scenario List'!$A$11</f>
        <v>9- Low Economic Growth Loads</v>
      </c>
      <c r="B405" s="128" t="s">
        <v>12</v>
      </c>
      <c r="D405" s="140">
        <v>0</v>
      </c>
      <c r="E405" s="140">
        <v>0</v>
      </c>
      <c r="F405" s="140">
        <v>0</v>
      </c>
      <c r="G405" s="140">
        <v>0</v>
      </c>
      <c r="H405" s="140">
        <v>0</v>
      </c>
      <c r="I405" s="140">
        <v>0</v>
      </c>
      <c r="J405" s="140">
        <v>0</v>
      </c>
      <c r="K405" s="140">
        <v>0</v>
      </c>
      <c r="L405" s="140">
        <v>0</v>
      </c>
      <c r="M405" s="140">
        <v>0</v>
      </c>
      <c r="N405" s="140">
        <v>0</v>
      </c>
      <c r="O405" s="140">
        <v>0</v>
      </c>
      <c r="P405" s="140">
        <v>0</v>
      </c>
      <c r="Q405" s="140">
        <v>0</v>
      </c>
      <c r="R405" s="140">
        <v>0</v>
      </c>
      <c r="S405" s="140">
        <v>0</v>
      </c>
      <c r="T405" s="140">
        <v>0</v>
      </c>
      <c r="U405" s="140">
        <v>0</v>
      </c>
      <c r="V405" s="140">
        <v>0</v>
      </c>
      <c r="W405" s="140">
        <v>0</v>
      </c>
      <c r="X405" s="140">
        <v>0</v>
      </c>
      <c r="Y405" s="140">
        <v>0</v>
      </c>
      <c r="Z405" s="140">
        <v>0</v>
      </c>
      <c r="AB405" s="139">
        <f t="shared" ref="AB405:AB415" si="25">SUM(C405:Z405)</f>
        <v>0</v>
      </c>
    </row>
    <row r="406" spans="1:28" x14ac:dyDescent="0.2">
      <c r="A406" s="127" t="str">
        <f>'Scenario List'!$A$11</f>
        <v>9- Low Economic Growth Loads</v>
      </c>
      <c r="B406" s="128" t="s">
        <v>13</v>
      </c>
      <c r="D406" s="140">
        <v>0</v>
      </c>
      <c r="E406" s="140">
        <v>0.6647334829136522</v>
      </c>
      <c r="F406" s="140">
        <v>0.68964227723279492</v>
      </c>
      <c r="G406" s="140">
        <v>0.715898982074055</v>
      </c>
      <c r="H406" s="140">
        <v>0.74474658163441032</v>
      </c>
      <c r="I406" s="140">
        <v>0.77630089828909565</v>
      </c>
      <c r="J406" s="140">
        <v>0.80410589762085027</v>
      </c>
      <c r="K406" s="140">
        <v>0.83083714578541812</v>
      </c>
      <c r="L406" s="140">
        <v>0.86470310660032568</v>
      </c>
      <c r="M406" s="140">
        <v>0.89748888614452049</v>
      </c>
      <c r="N406" s="140">
        <v>0.92585303260081564</v>
      </c>
      <c r="O406" s="140">
        <v>0.2</v>
      </c>
      <c r="P406" s="140">
        <v>0.23577404323547846</v>
      </c>
      <c r="Q406" s="140">
        <v>0</v>
      </c>
      <c r="R406" s="140">
        <v>0.26259075216858613</v>
      </c>
      <c r="S406" s="140">
        <v>0</v>
      </c>
      <c r="T406" s="140">
        <v>0.2</v>
      </c>
      <c r="U406" s="140">
        <v>0.2</v>
      </c>
      <c r="V406" s="140">
        <v>0.20646654747483467</v>
      </c>
      <c r="W406" s="140">
        <v>0.21522512920086481</v>
      </c>
      <c r="X406" s="140">
        <v>0.22661422905570056</v>
      </c>
      <c r="Y406" s="140">
        <v>0</v>
      </c>
      <c r="Z406" s="140">
        <v>0.25437597357216934</v>
      </c>
      <c r="AB406" s="139">
        <f t="shared" si="25"/>
        <v>9.9153569656035714</v>
      </c>
    </row>
    <row r="407" spans="1:28" x14ac:dyDescent="0.2">
      <c r="A407" s="127" t="str">
        <f>'Scenario List'!$A$11</f>
        <v>9- Low Economic Growth Loads</v>
      </c>
      <c r="B407" s="128" t="s">
        <v>14</v>
      </c>
      <c r="D407" s="140">
        <v>0</v>
      </c>
      <c r="E407" s="140">
        <v>0</v>
      </c>
      <c r="F407" s="140">
        <v>0</v>
      </c>
      <c r="G407" s="140">
        <v>0</v>
      </c>
      <c r="H407" s="140">
        <v>0</v>
      </c>
      <c r="I407" s="140">
        <v>0</v>
      </c>
      <c r="J407" s="140">
        <v>0</v>
      </c>
      <c r="K407" s="140">
        <v>0</v>
      </c>
      <c r="L407" s="140">
        <v>0</v>
      </c>
      <c r="M407" s="140">
        <v>0</v>
      </c>
      <c r="N407" s="140">
        <v>0</v>
      </c>
      <c r="O407" s="140">
        <v>0.1</v>
      </c>
      <c r="P407" s="140">
        <v>0</v>
      </c>
      <c r="Q407" s="140">
        <v>0</v>
      </c>
      <c r="R407" s="140">
        <v>0</v>
      </c>
      <c r="S407" s="140">
        <v>0</v>
      </c>
      <c r="T407" s="140">
        <v>0.1</v>
      </c>
      <c r="U407" s="140">
        <v>0.1</v>
      </c>
      <c r="V407" s="140">
        <v>0.10323327373741734</v>
      </c>
      <c r="W407" s="140">
        <v>0.10761256460043241</v>
      </c>
      <c r="X407" s="140">
        <v>0.11330711452785028</v>
      </c>
      <c r="Y407" s="140">
        <v>0</v>
      </c>
      <c r="Z407" s="140">
        <v>0.12718798678608467</v>
      </c>
      <c r="AB407" s="139">
        <f t="shared" si="25"/>
        <v>0.75134093965178472</v>
      </c>
    </row>
    <row r="408" spans="1:28" x14ac:dyDescent="0.2">
      <c r="A408" s="127" t="str">
        <f>'Scenario List'!$A$11</f>
        <v>9- Low Economic Growth Loads</v>
      </c>
      <c r="B408" s="128" t="s">
        <v>15</v>
      </c>
      <c r="D408" s="140">
        <v>0</v>
      </c>
      <c r="E408" s="140">
        <v>0</v>
      </c>
      <c r="F408" s="140">
        <v>0</v>
      </c>
      <c r="G408" s="140">
        <v>0</v>
      </c>
      <c r="H408" s="140">
        <v>0</v>
      </c>
      <c r="I408" s="140">
        <v>0</v>
      </c>
      <c r="J408" s="140">
        <v>0</v>
      </c>
      <c r="K408" s="140">
        <v>200</v>
      </c>
      <c r="L408" s="140">
        <v>0</v>
      </c>
      <c r="M408" s="140">
        <v>200</v>
      </c>
      <c r="N408" s="140">
        <v>0</v>
      </c>
      <c r="O408" s="140">
        <v>0</v>
      </c>
      <c r="P408" s="140">
        <v>0</v>
      </c>
      <c r="Q408" s="140">
        <v>0</v>
      </c>
      <c r="R408" s="140">
        <v>0</v>
      </c>
      <c r="S408" s="140">
        <v>0</v>
      </c>
      <c r="T408" s="140">
        <v>0</v>
      </c>
      <c r="U408" s="140">
        <v>0</v>
      </c>
      <c r="V408" s="140">
        <v>140</v>
      </c>
      <c r="W408" s="140">
        <v>105</v>
      </c>
      <c r="X408" s="140">
        <v>0</v>
      </c>
      <c r="Y408" s="140">
        <v>100</v>
      </c>
      <c r="Z408" s="140">
        <v>160</v>
      </c>
      <c r="AB408" s="139">
        <f t="shared" si="25"/>
        <v>905</v>
      </c>
    </row>
    <row r="409" spans="1:28" x14ac:dyDescent="0.2">
      <c r="A409" s="127" t="str">
        <f>'Scenario List'!$A$11</f>
        <v>9- Low Economic Growth Loads</v>
      </c>
      <c r="B409" s="128" t="s">
        <v>16</v>
      </c>
      <c r="D409" s="140">
        <v>0</v>
      </c>
      <c r="E409" s="140">
        <v>0</v>
      </c>
      <c r="F409" s="140">
        <v>0</v>
      </c>
      <c r="G409" s="140">
        <v>0</v>
      </c>
      <c r="H409" s="140">
        <v>0</v>
      </c>
      <c r="I409" s="140">
        <v>0</v>
      </c>
      <c r="J409" s="140">
        <v>0</v>
      </c>
      <c r="K409" s="140">
        <v>0</v>
      </c>
      <c r="L409" s="140">
        <v>0</v>
      </c>
      <c r="M409" s="140">
        <v>0</v>
      </c>
      <c r="N409" s="140">
        <v>0</v>
      </c>
      <c r="O409" s="140">
        <v>0</v>
      </c>
      <c r="P409" s="140">
        <v>0</v>
      </c>
      <c r="Q409" s="140">
        <v>0.5</v>
      </c>
      <c r="R409" s="140">
        <v>0</v>
      </c>
      <c r="S409" s="140">
        <v>0.5</v>
      </c>
      <c r="T409" s="140">
        <v>50</v>
      </c>
      <c r="U409" s="140">
        <v>0</v>
      </c>
      <c r="V409" s="140">
        <v>50</v>
      </c>
      <c r="W409" s="140">
        <v>106.93131743519785</v>
      </c>
      <c r="X409" s="140">
        <v>50.13519474360649</v>
      </c>
      <c r="Y409" s="140">
        <v>0.5</v>
      </c>
      <c r="Z409" s="140">
        <v>0</v>
      </c>
      <c r="AB409" s="139">
        <f t="shared" si="25"/>
        <v>258.56651217880437</v>
      </c>
    </row>
    <row r="410" spans="1:28" x14ac:dyDescent="0.2">
      <c r="A410" s="127" t="str">
        <f>'Scenario List'!$A$11</f>
        <v>9- Low Economic Growth Loads</v>
      </c>
      <c r="B410" s="128" t="s">
        <v>85</v>
      </c>
      <c r="D410" s="140">
        <v>0</v>
      </c>
      <c r="E410" s="140">
        <v>0</v>
      </c>
      <c r="F410" s="140">
        <v>0</v>
      </c>
      <c r="G410" s="140">
        <v>0</v>
      </c>
      <c r="H410" s="140">
        <v>0</v>
      </c>
      <c r="I410" s="140">
        <v>0</v>
      </c>
      <c r="J410" s="140">
        <v>0</v>
      </c>
      <c r="K410" s="140">
        <v>0</v>
      </c>
      <c r="L410" s="140">
        <v>0</v>
      </c>
      <c r="M410" s="140">
        <v>0</v>
      </c>
      <c r="N410" s="140">
        <v>0</v>
      </c>
      <c r="O410" s="140">
        <v>0</v>
      </c>
      <c r="P410" s="140">
        <v>0</v>
      </c>
      <c r="Q410" s="140">
        <v>0</v>
      </c>
      <c r="R410" s="140">
        <v>0</v>
      </c>
      <c r="S410" s="140">
        <v>0</v>
      </c>
      <c r="T410" s="140">
        <v>0</v>
      </c>
      <c r="U410" s="140">
        <v>0</v>
      </c>
      <c r="V410" s="140">
        <v>0</v>
      </c>
      <c r="W410" s="140">
        <v>92.904052959019495</v>
      </c>
      <c r="X410" s="140">
        <v>0</v>
      </c>
      <c r="Y410" s="140">
        <v>0</v>
      </c>
      <c r="Z410" s="140">
        <v>273.19050010660612</v>
      </c>
      <c r="AB410" s="139">
        <f t="shared" si="25"/>
        <v>366.09455306562563</v>
      </c>
    </row>
    <row r="411" spans="1:28" x14ac:dyDescent="0.2">
      <c r="A411" s="127" t="str">
        <f>'Scenario List'!$A$11</f>
        <v>9- Low Economic Growth Loads</v>
      </c>
      <c r="B411" s="128" t="s">
        <v>86</v>
      </c>
      <c r="D411" s="140">
        <v>0</v>
      </c>
      <c r="E411" s="140">
        <v>0</v>
      </c>
      <c r="F411" s="140">
        <v>0</v>
      </c>
      <c r="G411" s="140">
        <v>0</v>
      </c>
      <c r="H411" s="140">
        <v>0</v>
      </c>
      <c r="I411" s="140">
        <v>0</v>
      </c>
      <c r="J411" s="140">
        <v>0</v>
      </c>
      <c r="K411" s="140">
        <v>0</v>
      </c>
      <c r="L411" s="140">
        <v>0</v>
      </c>
      <c r="M411" s="140">
        <v>0</v>
      </c>
      <c r="N411" s="140">
        <v>0</v>
      </c>
      <c r="O411" s="140">
        <v>0</v>
      </c>
      <c r="P411" s="140">
        <v>0</v>
      </c>
      <c r="Q411" s="140">
        <v>0</v>
      </c>
      <c r="R411" s="140">
        <v>0</v>
      </c>
      <c r="S411" s="140">
        <v>0</v>
      </c>
      <c r="T411" s="140">
        <v>0</v>
      </c>
      <c r="U411" s="140">
        <v>0</v>
      </c>
      <c r="V411" s="140">
        <v>0</v>
      </c>
      <c r="W411" s="140">
        <v>0</v>
      </c>
      <c r="X411" s="140">
        <v>0</v>
      </c>
      <c r="Y411" s="140">
        <v>20</v>
      </c>
      <c r="Z411" s="140">
        <v>77.599999999999994</v>
      </c>
      <c r="AB411" s="139">
        <f t="shared" si="25"/>
        <v>97.6</v>
      </c>
    </row>
    <row r="412" spans="1:28" x14ac:dyDescent="0.2">
      <c r="A412" s="127" t="str">
        <f>'Scenario List'!$A$11</f>
        <v>9- Low Economic Growth Loads</v>
      </c>
      <c r="B412" s="128" t="s">
        <v>87</v>
      </c>
      <c r="D412" s="140">
        <v>0</v>
      </c>
      <c r="E412" s="140">
        <v>0</v>
      </c>
      <c r="F412" s="140">
        <v>0</v>
      </c>
      <c r="G412" s="140">
        <v>0</v>
      </c>
      <c r="H412" s="140">
        <v>0</v>
      </c>
      <c r="I412" s="140">
        <v>0</v>
      </c>
      <c r="J412" s="140">
        <v>0</v>
      </c>
      <c r="K412" s="140">
        <v>0</v>
      </c>
      <c r="L412" s="140">
        <v>0</v>
      </c>
      <c r="M412" s="140">
        <v>0</v>
      </c>
      <c r="N412" s="140">
        <v>0</v>
      </c>
      <c r="O412" s="140">
        <v>0</v>
      </c>
      <c r="P412" s="140">
        <v>0</v>
      </c>
      <c r="Q412" s="140">
        <v>0</v>
      </c>
      <c r="R412" s="140">
        <v>0</v>
      </c>
      <c r="S412" s="140">
        <v>0</v>
      </c>
      <c r="T412" s="140">
        <v>0</v>
      </c>
      <c r="U412" s="140">
        <v>0</v>
      </c>
      <c r="V412" s="140">
        <v>0</v>
      </c>
      <c r="W412" s="140">
        <v>0</v>
      </c>
      <c r="X412" s="140">
        <v>0</v>
      </c>
      <c r="Y412" s="140">
        <v>0</v>
      </c>
      <c r="Z412" s="140">
        <v>0</v>
      </c>
      <c r="AB412" s="139">
        <f t="shared" si="25"/>
        <v>0</v>
      </c>
    </row>
    <row r="413" spans="1:28" x14ac:dyDescent="0.2">
      <c r="A413" s="127" t="str">
        <f>'Scenario List'!$A$11</f>
        <v>9- Low Economic Growth Loads</v>
      </c>
      <c r="B413" s="128" t="s">
        <v>17</v>
      </c>
      <c r="D413" s="140">
        <v>0</v>
      </c>
      <c r="E413" s="140">
        <v>0</v>
      </c>
      <c r="F413" s="140">
        <v>6.7666466459931875</v>
      </c>
      <c r="G413" s="140">
        <v>0</v>
      </c>
      <c r="H413" s="140">
        <v>0</v>
      </c>
      <c r="I413" s="140">
        <v>0</v>
      </c>
      <c r="J413" s="140">
        <v>0</v>
      </c>
      <c r="K413" s="140">
        <v>0</v>
      </c>
      <c r="L413" s="140">
        <v>0</v>
      </c>
      <c r="M413" s="140">
        <v>0</v>
      </c>
      <c r="N413" s="140">
        <v>0</v>
      </c>
      <c r="O413" s="140">
        <v>0</v>
      </c>
      <c r="P413" s="140">
        <v>0</v>
      </c>
      <c r="Q413" s="140">
        <v>0</v>
      </c>
      <c r="R413" s="140">
        <v>0</v>
      </c>
      <c r="S413" s="140">
        <v>0</v>
      </c>
      <c r="T413" s="140">
        <v>0</v>
      </c>
      <c r="U413" s="140">
        <v>0</v>
      </c>
      <c r="V413" s="140">
        <v>0</v>
      </c>
      <c r="W413" s="140">
        <v>0</v>
      </c>
      <c r="X413" s="140">
        <v>0</v>
      </c>
      <c r="Y413" s="140">
        <v>0</v>
      </c>
      <c r="Z413" s="140">
        <v>0</v>
      </c>
      <c r="AB413" s="139">
        <f t="shared" si="25"/>
        <v>6.7666466459931875</v>
      </c>
    </row>
    <row r="414" spans="1:28" x14ac:dyDescent="0.2">
      <c r="A414" s="127" t="str">
        <f>'Scenario List'!$A$11</f>
        <v>9- Low Economic Growth Loads</v>
      </c>
      <c r="B414" s="128" t="s">
        <v>18</v>
      </c>
      <c r="D414" s="140">
        <v>1.4924082571639901</v>
      </c>
      <c r="E414" s="140">
        <v>1.8635390321541856</v>
      </c>
      <c r="F414" s="140">
        <v>2.102613209798379</v>
      </c>
      <c r="G414" s="140">
        <v>2.4796557279561178</v>
      </c>
      <c r="H414" s="140">
        <v>2.6546246364356758</v>
      </c>
      <c r="I414" s="140">
        <v>2.8221318466559318</v>
      </c>
      <c r="J414" s="140">
        <v>2.8333097204145563</v>
      </c>
      <c r="K414" s="140">
        <v>2.7025667648392542</v>
      </c>
      <c r="L414" s="140">
        <v>3.0904666901381148</v>
      </c>
      <c r="M414" s="140">
        <v>3.2590206075522481</v>
      </c>
      <c r="N414" s="140">
        <v>3.1358807197928513</v>
      </c>
      <c r="O414" s="140">
        <v>3.2108253238081659</v>
      </c>
      <c r="P414" s="140">
        <v>3.1532573938147053</v>
      </c>
      <c r="Q414" s="140">
        <v>3.1911690376512851</v>
      </c>
      <c r="R414" s="140">
        <v>2.8680890796783558</v>
      </c>
      <c r="S414" s="140">
        <v>2.5648842698481928</v>
      </c>
      <c r="T414" s="140">
        <v>2.4557598714173494</v>
      </c>
      <c r="U414" s="140">
        <v>2.4649936459563335</v>
      </c>
      <c r="V414" s="140">
        <v>2.1855155765501522</v>
      </c>
      <c r="W414" s="140">
        <v>2.2572620103081462</v>
      </c>
      <c r="X414" s="140">
        <v>1.3726103159461971</v>
      </c>
      <c r="Y414" s="140">
        <v>1.5790497269017081</v>
      </c>
      <c r="Z414" s="140">
        <v>0.87361013080288075</v>
      </c>
      <c r="AB414" s="139">
        <f t="shared" si="25"/>
        <v>56.613243595584777</v>
      </c>
    </row>
    <row r="415" spans="1:28" x14ac:dyDescent="0.2">
      <c r="A415" s="127" t="str">
        <f>'Scenario List'!$A$11</f>
        <v>9- Low Economic Growth Loads</v>
      </c>
      <c r="B415" s="128" t="s">
        <v>19</v>
      </c>
      <c r="D415" s="140">
        <v>1.3991819732249611</v>
      </c>
      <c r="E415" s="140">
        <v>1.7792885076105955</v>
      </c>
      <c r="F415" s="140">
        <v>2.051257485537628</v>
      </c>
      <c r="G415" s="140">
        <v>2.4872656646469657</v>
      </c>
      <c r="H415" s="140">
        <v>2.7227461235550141</v>
      </c>
      <c r="I415" s="140">
        <v>2.9481453118969583</v>
      </c>
      <c r="J415" s="140">
        <v>3.0100621175620574</v>
      </c>
      <c r="K415" s="140">
        <v>2.9364111514453448</v>
      </c>
      <c r="L415" s="140">
        <v>3.3499389997571463</v>
      </c>
      <c r="M415" s="140">
        <v>3.5944327510193546</v>
      </c>
      <c r="N415" s="140">
        <v>3.5115821293446494</v>
      </c>
      <c r="O415" s="140">
        <v>3.5847639775205415</v>
      </c>
      <c r="P415" s="140">
        <v>3.4957049160862326</v>
      </c>
      <c r="Q415" s="140">
        <v>3.4828548671968136</v>
      </c>
      <c r="R415" s="140">
        <v>3.0808692820134524</v>
      </c>
      <c r="S415" s="140">
        <v>2.6597195756024945</v>
      </c>
      <c r="T415" s="140">
        <v>2.5231420426912621</v>
      </c>
      <c r="U415" s="140">
        <v>2.4596556200711461</v>
      </c>
      <c r="V415" s="140">
        <v>2.0864393318602694</v>
      </c>
      <c r="W415" s="140">
        <v>2.1486153188909896</v>
      </c>
      <c r="X415" s="140">
        <v>1.3434569864764256</v>
      </c>
      <c r="Y415" s="140">
        <v>1.5407124218853951</v>
      </c>
      <c r="Z415" s="140">
        <v>0.86011889400235475</v>
      </c>
      <c r="AB415" s="139">
        <f t="shared" si="25"/>
        <v>59.056365449898053</v>
      </c>
    </row>
    <row r="416" spans="1:28" x14ac:dyDescent="0.2">
      <c r="A416" s="127" t="str">
        <f>'Scenario List'!$A$11</f>
        <v>9- Low Economic Growth Loads</v>
      </c>
      <c r="B416" s="128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B416" s="139"/>
    </row>
    <row r="417" spans="1:28" x14ac:dyDescent="0.2">
      <c r="A417" s="127" t="str">
        <f>'Scenario List'!$A$11</f>
        <v>9- Low Economic Growth Loads</v>
      </c>
      <c r="B417" s="132" t="s">
        <v>8</v>
      </c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  <c r="AB417" s="139"/>
    </row>
    <row r="418" spans="1:28" x14ac:dyDescent="0.2">
      <c r="A418" s="127" t="str">
        <f>'Scenario List'!$A$11</f>
        <v>9- Low Economic Growth Loads</v>
      </c>
      <c r="B418" s="128" t="s">
        <v>12</v>
      </c>
      <c r="D418" s="140">
        <v>0</v>
      </c>
      <c r="E418" s="140">
        <v>0</v>
      </c>
      <c r="F418" s="140">
        <v>0</v>
      </c>
      <c r="G418" s="140">
        <v>0</v>
      </c>
      <c r="H418" s="140">
        <v>0</v>
      </c>
      <c r="I418" s="140">
        <v>0</v>
      </c>
      <c r="J418" s="140">
        <v>0</v>
      </c>
      <c r="K418" s="140">
        <v>0</v>
      </c>
      <c r="L418" s="140">
        <v>0</v>
      </c>
      <c r="M418" s="140">
        <v>0</v>
      </c>
      <c r="N418" s="140">
        <v>0</v>
      </c>
      <c r="O418" s="140">
        <v>0</v>
      </c>
      <c r="P418" s="140">
        <v>0</v>
      </c>
      <c r="Q418" s="140">
        <v>0</v>
      </c>
      <c r="R418" s="140">
        <v>0</v>
      </c>
      <c r="S418" s="140">
        <v>0</v>
      </c>
      <c r="T418" s="140">
        <v>0</v>
      </c>
      <c r="U418" s="140">
        <v>0</v>
      </c>
      <c r="V418" s="140">
        <v>90.247500000000002</v>
      </c>
      <c r="W418" s="140">
        <v>90.247500000000002</v>
      </c>
      <c r="X418" s="140">
        <v>0</v>
      </c>
      <c r="Y418" s="140">
        <v>0</v>
      </c>
      <c r="Z418" s="140">
        <v>48.410446934374392</v>
      </c>
      <c r="AB418" s="139">
        <f t="shared" ref="AB418:AB428" si="26">SUM(C418:Z418)</f>
        <v>228.9054469343744</v>
      </c>
    </row>
    <row r="419" spans="1:28" x14ac:dyDescent="0.2">
      <c r="A419" s="127" t="str">
        <f>'Scenario List'!$A$11</f>
        <v>9- Low Economic Growth Loads</v>
      </c>
      <c r="B419" s="128" t="s">
        <v>13</v>
      </c>
      <c r="D419" s="140">
        <v>0</v>
      </c>
      <c r="E419" s="140">
        <v>0</v>
      </c>
      <c r="F419" s="140">
        <v>0</v>
      </c>
      <c r="G419" s="140">
        <v>0</v>
      </c>
      <c r="H419" s="140">
        <v>0</v>
      </c>
      <c r="I419" s="140">
        <v>0</v>
      </c>
      <c r="J419" s="140">
        <v>0</v>
      </c>
      <c r="K419" s="140">
        <v>0</v>
      </c>
      <c r="L419" s="140">
        <v>0</v>
      </c>
      <c r="M419" s="140">
        <v>0</v>
      </c>
      <c r="N419" s="140">
        <v>0</v>
      </c>
      <c r="O419" s="140">
        <v>0</v>
      </c>
      <c r="P419" s="140">
        <v>0</v>
      </c>
      <c r="Q419" s="140">
        <v>0</v>
      </c>
      <c r="R419" s="140">
        <v>0</v>
      </c>
      <c r="S419" s="140">
        <v>0</v>
      </c>
      <c r="T419" s="140">
        <v>0</v>
      </c>
      <c r="U419" s="140">
        <v>0</v>
      </c>
      <c r="V419" s="140">
        <v>0</v>
      </c>
      <c r="W419" s="140">
        <v>0</v>
      </c>
      <c r="X419" s="140">
        <v>0</v>
      </c>
      <c r="Y419" s="140">
        <v>0</v>
      </c>
      <c r="Z419" s="140">
        <v>0</v>
      </c>
      <c r="AB419" s="139">
        <f t="shared" si="26"/>
        <v>0</v>
      </c>
    </row>
    <row r="420" spans="1:28" x14ac:dyDescent="0.2">
      <c r="A420" s="127" t="str">
        <f>'Scenario List'!$A$11</f>
        <v>9- Low Economic Growth Loads</v>
      </c>
      <c r="B420" s="128" t="s">
        <v>14</v>
      </c>
      <c r="D420" s="140">
        <v>0</v>
      </c>
      <c r="E420" s="140">
        <v>0</v>
      </c>
      <c r="F420" s="140">
        <v>0</v>
      </c>
      <c r="G420" s="140">
        <v>0</v>
      </c>
      <c r="H420" s="140">
        <v>0</v>
      </c>
      <c r="I420" s="140">
        <v>0</v>
      </c>
      <c r="J420" s="140">
        <v>0</v>
      </c>
      <c r="K420" s="140">
        <v>0</v>
      </c>
      <c r="L420" s="140">
        <v>0</v>
      </c>
      <c r="M420" s="140">
        <v>0</v>
      </c>
      <c r="N420" s="140">
        <v>0</v>
      </c>
      <c r="O420" s="140">
        <v>0</v>
      </c>
      <c r="P420" s="140">
        <v>0</v>
      </c>
      <c r="Q420" s="140">
        <v>0</v>
      </c>
      <c r="R420" s="140">
        <v>0</v>
      </c>
      <c r="S420" s="140">
        <v>0</v>
      </c>
      <c r="T420" s="140">
        <v>0</v>
      </c>
      <c r="U420" s="140">
        <v>0</v>
      </c>
      <c r="V420" s="140">
        <v>0</v>
      </c>
      <c r="W420" s="140">
        <v>0</v>
      </c>
      <c r="X420" s="140">
        <v>0</v>
      </c>
      <c r="Y420" s="140">
        <v>0</v>
      </c>
      <c r="Z420" s="140">
        <v>0</v>
      </c>
      <c r="AB420" s="139">
        <f t="shared" si="26"/>
        <v>0</v>
      </c>
    </row>
    <row r="421" spans="1:28" x14ac:dyDescent="0.2">
      <c r="A421" s="127" t="str">
        <f>'Scenario List'!$A$11</f>
        <v>9- Low Economic Growth Loads</v>
      </c>
      <c r="B421" s="128" t="s">
        <v>15</v>
      </c>
      <c r="D421" s="140">
        <v>0</v>
      </c>
      <c r="E421" s="140">
        <v>0</v>
      </c>
      <c r="F421" s="140">
        <v>0</v>
      </c>
      <c r="G421" s="140">
        <v>0</v>
      </c>
      <c r="H421" s="140">
        <v>0</v>
      </c>
      <c r="I421" s="140">
        <v>0</v>
      </c>
      <c r="J421" s="140">
        <v>0</v>
      </c>
      <c r="K421" s="140">
        <v>0</v>
      </c>
      <c r="L421" s="140">
        <v>0</v>
      </c>
      <c r="M421" s="140">
        <v>0</v>
      </c>
      <c r="N421" s="140">
        <v>0</v>
      </c>
      <c r="O421" s="140">
        <v>0</v>
      </c>
      <c r="P421" s="140">
        <v>0</v>
      </c>
      <c r="Q421" s="140">
        <v>0</v>
      </c>
      <c r="R421" s="140">
        <v>0</v>
      </c>
      <c r="S421" s="140">
        <v>0</v>
      </c>
      <c r="T421" s="140">
        <v>0</v>
      </c>
      <c r="U421" s="140">
        <v>0</v>
      </c>
      <c r="V421" s="140">
        <v>0</v>
      </c>
      <c r="W421" s="140">
        <v>0</v>
      </c>
      <c r="X421" s="140">
        <v>0</v>
      </c>
      <c r="Y421" s="140">
        <v>0</v>
      </c>
      <c r="Z421" s="140">
        <v>0</v>
      </c>
      <c r="AB421" s="139">
        <f t="shared" si="26"/>
        <v>0</v>
      </c>
    </row>
    <row r="422" spans="1:28" x14ac:dyDescent="0.2">
      <c r="A422" s="127" t="str">
        <f>'Scenario List'!$A$11</f>
        <v>9- Low Economic Growth Loads</v>
      </c>
      <c r="B422" s="128" t="s">
        <v>16</v>
      </c>
      <c r="D422" s="140">
        <v>0</v>
      </c>
      <c r="E422" s="140">
        <v>0</v>
      </c>
      <c r="F422" s="140">
        <v>0</v>
      </c>
      <c r="G422" s="140">
        <v>0</v>
      </c>
      <c r="H422" s="140">
        <v>0</v>
      </c>
      <c r="I422" s="140">
        <v>0</v>
      </c>
      <c r="J422" s="140">
        <v>0</v>
      </c>
      <c r="K422" s="140">
        <v>0</v>
      </c>
      <c r="L422" s="140">
        <v>0</v>
      </c>
      <c r="M422" s="140">
        <v>0</v>
      </c>
      <c r="N422" s="140">
        <v>0</v>
      </c>
      <c r="O422" s="140">
        <v>0</v>
      </c>
      <c r="P422" s="140">
        <v>0</v>
      </c>
      <c r="Q422" s="140">
        <v>0</v>
      </c>
      <c r="R422" s="140">
        <v>0</v>
      </c>
      <c r="S422" s="140">
        <v>0</v>
      </c>
      <c r="T422" s="140">
        <v>0</v>
      </c>
      <c r="U422" s="140">
        <v>0</v>
      </c>
      <c r="V422" s="140">
        <v>0</v>
      </c>
      <c r="W422" s="140">
        <v>0</v>
      </c>
      <c r="X422" s="140">
        <v>0</v>
      </c>
      <c r="Y422" s="140">
        <v>0</v>
      </c>
      <c r="Z422" s="140">
        <v>55.279763285295488</v>
      </c>
      <c r="AB422" s="139">
        <f t="shared" si="26"/>
        <v>55.279763285295488</v>
      </c>
    </row>
    <row r="423" spans="1:28" x14ac:dyDescent="0.2">
      <c r="A423" s="127" t="str">
        <f>'Scenario List'!$A$11</f>
        <v>9- Low Economic Growth Loads</v>
      </c>
      <c r="B423" s="128" t="s">
        <v>85</v>
      </c>
      <c r="D423" s="140">
        <v>0</v>
      </c>
      <c r="E423" s="140">
        <v>0</v>
      </c>
      <c r="F423" s="140">
        <v>0</v>
      </c>
      <c r="G423" s="140">
        <v>0</v>
      </c>
      <c r="H423" s="140">
        <v>0</v>
      </c>
      <c r="I423" s="140">
        <v>0</v>
      </c>
      <c r="J423" s="140">
        <v>0</v>
      </c>
      <c r="K423" s="140">
        <v>0</v>
      </c>
      <c r="L423" s="140">
        <v>0</v>
      </c>
      <c r="M423" s="140">
        <v>0</v>
      </c>
      <c r="N423" s="140">
        <v>0</v>
      </c>
      <c r="O423" s="140">
        <v>0</v>
      </c>
      <c r="P423" s="140">
        <v>0</v>
      </c>
      <c r="Q423" s="140">
        <v>0</v>
      </c>
      <c r="R423" s="140">
        <v>0</v>
      </c>
      <c r="S423" s="140">
        <v>0</v>
      </c>
      <c r="T423" s="140">
        <v>0</v>
      </c>
      <c r="U423" s="140">
        <v>0</v>
      </c>
      <c r="V423" s="140">
        <v>0</v>
      </c>
      <c r="W423" s="140">
        <v>0</v>
      </c>
      <c r="X423" s="140">
        <v>0</v>
      </c>
      <c r="Y423" s="140">
        <v>0</v>
      </c>
      <c r="Z423" s="140">
        <v>0</v>
      </c>
      <c r="AB423" s="139">
        <f t="shared" si="26"/>
        <v>0</v>
      </c>
    </row>
    <row r="424" spans="1:28" x14ac:dyDescent="0.2">
      <c r="A424" s="127" t="str">
        <f>'Scenario List'!$A$11</f>
        <v>9- Low Economic Growth Loads</v>
      </c>
      <c r="B424" s="128" t="s">
        <v>86</v>
      </c>
      <c r="D424" s="140">
        <v>0</v>
      </c>
      <c r="E424" s="140">
        <v>0</v>
      </c>
      <c r="F424" s="140">
        <v>0</v>
      </c>
      <c r="G424" s="140">
        <v>0</v>
      </c>
      <c r="H424" s="140">
        <v>0</v>
      </c>
      <c r="I424" s="140">
        <v>0</v>
      </c>
      <c r="J424" s="140">
        <v>0</v>
      </c>
      <c r="K424" s="140">
        <v>0</v>
      </c>
      <c r="L424" s="140">
        <v>0</v>
      </c>
      <c r="M424" s="140">
        <v>0</v>
      </c>
      <c r="N424" s="140">
        <v>0</v>
      </c>
      <c r="O424" s="140">
        <v>0</v>
      </c>
      <c r="P424" s="140">
        <v>0</v>
      </c>
      <c r="Q424" s="140">
        <v>0</v>
      </c>
      <c r="R424" s="140">
        <v>0</v>
      </c>
      <c r="S424" s="140">
        <v>0</v>
      </c>
      <c r="T424" s="140">
        <v>0</v>
      </c>
      <c r="U424" s="140">
        <v>0</v>
      </c>
      <c r="V424" s="140">
        <v>0</v>
      </c>
      <c r="W424" s="140">
        <v>0</v>
      </c>
      <c r="X424" s="140">
        <v>0</v>
      </c>
      <c r="Y424" s="140">
        <v>0</v>
      </c>
      <c r="Z424" s="140">
        <v>0</v>
      </c>
      <c r="AB424" s="139">
        <f t="shared" si="26"/>
        <v>0</v>
      </c>
    </row>
    <row r="425" spans="1:28" x14ac:dyDescent="0.2">
      <c r="A425" s="127" t="str">
        <f>'Scenario List'!$A$11</f>
        <v>9- Low Economic Growth Loads</v>
      </c>
      <c r="B425" s="128" t="s">
        <v>87</v>
      </c>
      <c r="D425" s="140">
        <v>0</v>
      </c>
      <c r="E425" s="140">
        <v>0</v>
      </c>
      <c r="F425" s="140">
        <v>0</v>
      </c>
      <c r="G425" s="140">
        <v>0</v>
      </c>
      <c r="H425" s="140">
        <v>0</v>
      </c>
      <c r="I425" s="140">
        <v>0</v>
      </c>
      <c r="J425" s="140">
        <v>0</v>
      </c>
      <c r="K425" s="140">
        <v>0</v>
      </c>
      <c r="L425" s="140">
        <v>0</v>
      </c>
      <c r="M425" s="140">
        <v>0</v>
      </c>
      <c r="N425" s="140">
        <v>0</v>
      </c>
      <c r="O425" s="140">
        <v>0</v>
      </c>
      <c r="P425" s="140">
        <v>0</v>
      </c>
      <c r="Q425" s="140">
        <v>0</v>
      </c>
      <c r="R425" s="140">
        <v>0</v>
      </c>
      <c r="S425" s="140">
        <v>0</v>
      </c>
      <c r="T425" s="140">
        <v>0</v>
      </c>
      <c r="U425" s="140">
        <v>0</v>
      </c>
      <c r="V425" s="140">
        <v>0</v>
      </c>
      <c r="W425" s="140">
        <v>0</v>
      </c>
      <c r="X425" s="140">
        <v>0</v>
      </c>
      <c r="Y425" s="140">
        <v>0</v>
      </c>
      <c r="Z425" s="140">
        <v>0</v>
      </c>
      <c r="AB425" s="139">
        <f t="shared" si="26"/>
        <v>0</v>
      </c>
    </row>
    <row r="426" spans="1:28" x14ac:dyDescent="0.2">
      <c r="A426" s="127" t="str">
        <f>'Scenario List'!$A$11</f>
        <v>9- Low Economic Growth Loads</v>
      </c>
      <c r="B426" s="128" t="s">
        <v>17</v>
      </c>
      <c r="D426" s="140">
        <v>0</v>
      </c>
      <c r="E426" s="140">
        <v>0</v>
      </c>
      <c r="F426" s="140">
        <v>0</v>
      </c>
      <c r="G426" s="140">
        <v>0</v>
      </c>
      <c r="H426" s="140">
        <v>0</v>
      </c>
      <c r="I426" s="140">
        <v>0</v>
      </c>
      <c r="J426" s="140">
        <v>0</v>
      </c>
      <c r="K426" s="140">
        <v>0</v>
      </c>
      <c r="L426" s="140">
        <v>0</v>
      </c>
      <c r="M426" s="140">
        <v>0</v>
      </c>
      <c r="N426" s="140">
        <v>0</v>
      </c>
      <c r="O426" s="140">
        <v>0</v>
      </c>
      <c r="P426" s="140">
        <v>0</v>
      </c>
      <c r="Q426" s="140">
        <v>0</v>
      </c>
      <c r="R426" s="140">
        <v>0</v>
      </c>
      <c r="S426" s="140">
        <v>0</v>
      </c>
      <c r="T426" s="140">
        <v>0</v>
      </c>
      <c r="U426" s="140">
        <v>0</v>
      </c>
      <c r="V426" s="140">
        <v>0</v>
      </c>
      <c r="W426" s="140">
        <v>0</v>
      </c>
      <c r="X426" s="140">
        <v>0</v>
      </c>
      <c r="Y426" s="140">
        <v>0</v>
      </c>
      <c r="Z426" s="140">
        <v>0</v>
      </c>
      <c r="AB426" s="139">
        <f t="shared" si="26"/>
        <v>0</v>
      </c>
    </row>
    <row r="427" spans="1:28" x14ac:dyDescent="0.2">
      <c r="A427" s="127" t="str">
        <f>'Scenario List'!$A$11</f>
        <v>9- Low Economic Growth Loads</v>
      </c>
      <c r="B427" s="128" t="s">
        <v>18</v>
      </c>
      <c r="D427" s="140">
        <v>0.66437725400667191</v>
      </c>
      <c r="E427" s="140">
        <v>0.816499810612757</v>
      </c>
      <c r="F427" s="140">
        <v>0.94202104937270636</v>
      </c>
      <c r="G427" s="140">
        <v>1.095721003781517</v>
      </c>
      <c r="H427" s="140">
        <v>1.1782755847767064</v>
      </c>
      <c r="I427" s="140">
        <v>1.246565218770848</v>
      </c>
      <c r="J427" s="140">
        <v>1.2385751546440043</v>
      </c>
      <c r="K427" s="140">
        <v>1.2166124635043376</v>
      </c>
      <c r="L427" s="140">
        <v>1.3284920882556861</v>
      </c>
      <c r="M427" s="140">
        <v>1.3859042306184577</v>
      </c>
      <c r="N427" s="140">
        <v>1.3094680135099495</v>
      </c>
      <c r="O427" s="140">
        <v>1.3384483637380864</v>
      </c>
      <c r="P427" s="140">
        <v>1.3025729903840926</v>
      </c>
      <c r="Q427" s="140">
        <v>1.3131186548493332</v>
      </c>
      <c r="R427" s="140">
        <v>1.1756854209753165</v>
      </c>
      <c r="S427" s="140">
        <v>1.0394567848054344</v>
      </c>
      <c r="T427" s="140">
        <v>0.99916879372752732</v>
      </c>
      <c r="U427" s="140">
        <v>1.0048033599403929</v>
      </c>
      <c r="V427" s="140">
        <v>0.8650249969130428</v>
      </c>
      <c r="W427" s="140">
        <v>0.91371928109441214</v>
      </c>
      <c r="X427" s="140">
        <v>0.50528776705256107</v>
      </c>
      <c r="Y427" s="140">
        <v>0.5667462536461656</v>
      </c>
      <c r="Z427" s="140">
        <v>0.34474468614308762</v>
      </c>
      <c r="AB427" s="139">
        <f>SUM(C427:Z427)</f>
        <v>23.791289225123094</v>
      </c>
    </row>
    <row r="428" spans="1:28" x14ac:dyDescent="0.2">
      <c r="A428" s="127" t="str">
        <f>'Scenario List'!$A$11</f>
        <v>9- Low Economic Growth Loads</v>
      </c>
      <c r="B428" s="128" t="s">
        <v>19</v>
      </c>
      <c r="D428" s="140">
        <v>0.61444813589337799</v>
      </c>
      <c r="E428" s="140">
        <v>0.77308007210008678</v>
      </c>
      <c r="F428" s="140">
        <v>0.91115742167673641</v>
      </c>
      <c r="G428" s="140">
        <v>1.087984377211618</v>
      </c>
      <c r="H428" s="140">
        <v>1.1921191886991807</v>
      </c>
      <c r="I428" s="140">
        <v>1.2832784084577309</v>
      </c>
      <c r="J428" s="140">
        <v>1.2953591875974135</v>
      </c>
      <c r="K428" s="140">
        <v>1.2910764374226513</v>
      </c>
      <c r="L428" s="140">
        <v>1.4133621848756306</v>
      </c>
      <c r="M428" s="140">
        <v>1.490041276032823</v>
      </c>
      <c r="N428" s="140">
        <v>1.4244211011691075</v>
      </c>
      <c r="O428" s="140">
        <v>1.4531559474064579</v>
      </c>
      <c r="P428" s="140">
        <v>1.4016532971350824</v>
      </c>
      <c r="Q428" s="140">
        <v>1.3920148992098316</v>
      </c>
      <c r="R428" s="140">
        <v>1.2234942711483718</v>
      </c>
      <c r="S428" s="140">
        <v>1.0636840359843305</v>
      </c>
      <c r="T428" s="140">
        <v>1.0211813360425239</v>
      </c>
      <c r="U428" s="140">
        <v>0.99617186983970996</v>
      </c>
      <c r="V428" s="140">
        <v>0.82973558988398821</v>
      </c>
      <c r="W428" s="140">
        <v>0.86519984183563992</v>
      </c>
      <c r="X428" s="140">
        <v>0.49387057597452966</v>
      </c>
      <c r="Y428" s="140">
        <v>0.55910472881689088</v>
      </c>
      <c r="Z428" s="140">
        <v>0.33743243237116261</v>
      </c>
      <c r="AB428" s="139">
        <f t="shared" si="26"/>
        <v>24.413026616784876</v>
      </c>
    </row>
    <row r="429" spans="1:28" x14ac:dyDescent="0.2">
      <c r="A429" s="127" t="str">
        <f>'Scenario List'!$A$11</f>
        <v>9- Low Economic Growth Loads</v>
      </c>
      <c r="B429" s="128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  <c r="AB429" s="139"/>
    </row>
    <row r="430" spans="1:28" x14ac:dyDescent="0.2">
      <c r="A430" s="127" t="str">
        <f>'Scenario List'!$A$11</f>
        <v>9- Low Economic Growth Loads</v>
      </c>
      <c r="B430" s="131" t="s">
        <v>31</v>
      </c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B430" s="139"/>
    </row>
    <row r="431" spans="1:28" x14ac:dyDescent="0.2">
      <c r="A431" s="127" t="str">
        <f>'Scenario List'!$A$11</f>
        <v>9- Low Economic Growth Loads</v>
      </c>
      <c r="B431" s="128" t="s">
        <v>1</v>
      </c>
      <c r="D431" s="140">
        <v>20.17284949013219</v>
      </c>
      <c r="E431" s="140">
        <v>43.93759104444451</v>
      </c>
      <c r="F431" s="140">
        <v>71.09038352631643</v>
      </c>
      <c r="G431" s="140">
        <v>100.32925810234208</v>
      </c>
      <c r="H431" s="140">
        <v>132.20190828793793</v>
      </c>
      <c r="I431" s="140">
        <v>166.84370416667653</v>
      </c>
      <c r="J431" s="140">
        <v>203.08512846742684</v>
      </c>
      <c r="K431" s="140">
        <v>238.25762098783369</v>
      </c>
      <c r="L431" s="140">
        <v>273.56784684158367</v>
      </c>
      <c r="M431" s="140">
        <v>307.2631101997066</v>
      </c>
      <c r="N431" s="140">
        <v>337.54296423360432</v>
      </c>
      <c r="O431" s="140">
        <v>364.61487702137759</v>
      </c>
      <c r="P431" s="140">
        <v>388.70914041631983</v>
      </c>
      <c r="Q431" s="140">
        <v>410.19954228388013</v>
      </c>
      <c r="R431" s="140">
        <v>429.52668512157885</v>
      </c>
      <c r="S431" s="140">
        <v>444.92229252787808</v>
      </c>
      <c r="T431" s="140">
        <v>458.96630522407389</v>
      </c>
      <c r="U431" s="140">
        <v>471.46921514729513</v>
      </c>
      <c r="V431" s="140">
        <v>483.34207589326667</v>
      </c>
      <c r="W431" s="140">
        <v>494.5844751327237</v>
      </c>
      <c r="X431" s="140">
        <v>500.94513094117389</v>
      </c>
      <c r="Y431" s="140">
        <v>507.16988787712529</v>
      </c>
      <c r="Z431" s="140">
        <v>511.91429112811556</v>
      </c>
      <c r="AB431" s="139">
        <f>Z431/8.76</f>
        <v>58.437704466679861</v>
      </c>
    </row>
    <row r="432" spans="1:28" x14ac:dyDescent="0.2">
      <c r="A432" s="127" t="str">
        <f>'Scenario List'!$A$11</f>
        <v>9- Low Economic Growth Loads</v>
      </c>
      <c r="B432" s="128" t="s">
        <v>2</v>
      </c>
      <c r="D432" s="140">
        <v>8.0680601781836891</v>
      </c>
      <c r="E432" s="140">
        <v>17.462403591943854</v>
      </c>
      <c r="F432" s="140">
        <v>28.150868867477762</v>
      </c>
      <c r="G432" s="140">
        <v>39.56390378887378</v>
      </c>
      <c r="H432" s="140">
        <v>51.922483942365396</v>
      </c>
      <c r="I432" s="140">
        <v>65.102577963023975</v>
      </c>
      <c r="J432" s="140">
        <v>78.698969749565038</v>
      </c>
      <c r="K432" s="140">
        <v>91.872927806116408</v>
      </c>
      <c r="L432" s="140">
        <v>105.18201841247608</v>
      </c>
      <c r="M432" s="140">
        <v>118.08294449825789</v>
      </c>
      <c r="N432" s="140">
        <v>129.13120894332093</v>
      </c>
      <c r="O432" s="140">
        <v>139.26631110313159</v>
      </c>
      <c r="P432" s="140">
        <v>148.58281645732109</v>
      </c>
      <c r="Q432" s="140">
        <v>157.21471662544155</v>
      </c>
      <c r="R432" s="140">
        <v>165.22281122198592</v>
      </c>
      <c r="S432" s="140">
        <v>171.67107468951599</v>
      </c>
      <c r="T432" s="140">
        <v>177.66383858899522</v>
      </c>
      <c r="U432" s="140">
        <v>183.06345387654997</v>
      </c>
      <c r="V432" s="140">
        <v>188.15139164919771</v>
      </c>
      <c r="W432" s="140">
        <v>193.01652701803249</v>
      </c>
      <c r="X432" s="140">
        <v>195.41233992898512</v>
      </c>
      <c r="Y432" s="140">
        <v>197.74997336061909</v>
      </c>
      <c r="Z432" s="140">
        <v>199.66549541019637</v>
      </c>
      <c r="AB432" s="139">
        <f>Z432/8.76</f>
        <v>22.792864772853466</v>
      </c>
    </row>
    <row r="433" spans="1:28" x14ac:dyDescent="0.2">
      <c r="A433" s="127" t="str">
        <f>'Scenario List'!$A$11</f>
        <v>9- Low Economic Growth Loads</v>
      </c>
      <c r="B433" s="128" t="s">
        <v>4</v>
      </c>
      <c r="D433" s="140">
        <v>28.240909668315879</v>
      </c>
      <c r="E433" s="140">
        <v>61.399994636388364</v>
      </c>
      <c r="F433" s="140">
        <v>99.241252393794184</v>
      </c>
      <c r="G433" s="140">
        <v>139.89316189121587</v>
      </c>
      <c r="H433" s="140">
        <v>184.12439223030333</v>
      </c>
      <c r="I433" s="140">
        <v>231.94628212970051</v>
      </c>
      <c r="J433" s="140">
        <v>281.78409821699188</v>
      </c>
      <c r="K433" s="140">
        <v>330.13054879395008</v>
      </c>
      <c r="L433" s="140">
        <v>378.74986525405973</v>
      </c>
      <c r="M433" s="140">
        <v>425.34605469796452</v>
      </c>
      <c r="N433" s="140">
        <v>466.67417317692525</v>
      </c>
      <c r="O433" s="140">
        <v>503.88118812450921</v>
      </c>
      <c r="P433" s="140">
        <v>537.29195687364086</v>
      </c>
      <c r="Q433" s="140">
        <v>567.41425890932169</v>
      </c>
      <c r="R433" s="140">
        <v>594.74949634356472</v>
      </c>
      <c r="S433" s="140">
        <v>616.59336721739407</v>
      </c>
      <c r="T433" s="140">
        <v>636.63014381306914</v>
      </c>
      <c r="U433" s="140">
        <v>654.53266902384507</v>
      </c>
      <c r="V433" s="140">
        <v>671.49346754246437</v>
      </c>
      <c r="W433" s="140">
        <v>687.60100215075613</v>
      </c>
      <c r="X433" s="140">
        <v>696.35747087015898</v>
      </c>
      <c r="Y433" s="140">
        <v>704.91986123774439</v>
      </c>
      <c r="Z433" s="140">
        <v>711.57978653831196</v>
      </c>
      <c r="AB433" s="139">
        <f>Z433/8.76</f>
        <v>81.230569239533338</v>
      </c>
    </row>
    <row r="434" spans="1:28" x14ac:dyDescent="0.2">
      <c r="A434" s="127" t="str">
        <f>'Scenario List'!$A$11</f>
        <v>9- Low Economic Growth Loads</v>
      </c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  <c r="AB434" s="139"/>
    </row>
    <row r="435" spans="1:28" x14ac:dyDescent="0.2">
      <c r="A435" s="127" t="str">
        <f>'Scenario List'!$A$11</f>
        <v>9- Low Economic Growth Loads</v>
      </c>
      <c r="B435" s="141" t="s">
        <v>32</v>
      </c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  <c r="AB435" s="139"/>
    </row>
    <row r="436" spans="1:28" x14ac:dyDescent="0.2">
      <c r="A436" s="127" t="str">
        <f>'Scenario List'!$A$11</f>
        <v>9- Low Economic Growth Loads</v>
      </c>
      <c r="B436" s="128" t="s">
        <v>1</v>
      </c>
      <c r="D436" s="140">
        <v>2.4278481596632022</v>
      </c>
      <c r="E436" s="140">
        <v>5.2899074248701696</v>
      </c>
      <c r="F436" s="140">
        <v>8.5569404564343827</v>
      </c>
      <c r="G436" s="140">
        <v>12.077414213451117</v>
      </c>
      <c r="H436" s="140">
        <v>15.915371408063793</v>
      </c>
      <c r="I436" s="140">
        <v>20.09352715287601</v>
      </c>
      <c r="J436" s="140">
        <v>24.45224800759943</v>
      </c>
      <c r="K436" s="140">
        <v>28.689172081899205</v>
      </c>
      <c r="L436" s="140">
        <v>32.94376901663906</v>
      </c>
      <c r="M436" s="140">
        <v>37.016713247679135</v>
      </c>
      <c r="N436" s="140">
        <v>40.654995500372323</v>
      </c>
      <c r="O436" s="140">
        <v>43.919646741359514</v>
      </c>
      <c r="P436" s="140">
        <v>46.826278979620106</v>
      </c>
      <c r="Q436" s="140">
        <v>49.43649162453174</v>
      </c>
      <c r="R436" s="140">
        <v>51.753391463966864</v>
      </c>
      <c r="S436" s="140">
        <v>53.613768495201676</v>
      </c>
      <c r="T436" s="140">
        <v>55.31178105614363</v>
      </c>
      <c r="U436" s="140">
        <v>56.844464747147086</v>
      </c>
      <c r="V436" s="140">
        <v>58.261976495277565</v>
      </c>
      <c r="W436" s="140">
        <v>59.623908453782612</v>
      </c>
      <c r="X436" s="140">
        <v>60.39782438292341</v>
      </c>
      <c r="Y436" s="140">
        <v>61.17819548233139</v>
      </c>
      <c r="Z436" s="140">
        <v>61.735865438703037</v>
      </c>
      <c r="AB436" s="139">
        <f>Z436</f>
        <v>61.735865438703037</v>
      </c>
    </row>
    <row r="437" spans="1:28" x14ac:dyDescent="0.2">
      <c r="A437" s="127" t="str">
        <f>'Scenario List'!$A$11</f>
        <v>9- Low Economic Growth Loads</v>
      </c>
      <c r="B437" s="128" t="s">
        <v>2</v>
      </c>
      <c r="D437" s="140">
        <v>0.97100932940767604</v>
      </c>
      <c r="E437" s="140">
        <v>2.1024024353921238</v>
      </c>
      <c r="F437" s="140">
        <v>3.3884373208751648</v>
      </c>
      <c r="G437" s="140">
        <v>4.7626152430225366</v>
      </c>
      <c r="H437" s="140">
        <v>6.2507843273497672</v>
      </c>
      <c r="I437" s="140">
        <v>7.8405141180240161</v>
      </c>
      <c r="J437" s="140">
        <v>9.4756654058378373</v>
      </c>
      <c r="K437" s="140">
        <v>11.062639778612443</v>
      </c>
      <c r="L437" s="140">
        <v>12.666298906431932</v>
      </c>
      <c r="M437" s="140">
        <v>14.225731468683795</v>
      </c>
      <c r="N437" s="140">
        <v>15.553068127099479</v>
      </c>
      <c r="O437" s="140">
        <v>16.775308886431414</v>
      </c>
      <c r="P437" s="140">
        <v>17.899194260151479</v>
      </c>
      <c r="Q437" s="140">
        <v>18.947227435783024</v>
      </c>
      <c r="R437" s="140">
        <v>19.907589270101326</v>
      </c>
      <c r="S437" s="140">
        <v>20.686608448933775</v>
      </c>
      <c r="T437" s="140">
        <v>21.410947230278506</v>
      </c>
      <c r="U437" s="140">
        <v>22.071736003220209</v>
      </c>
      <c r="V437" s="140">
        <v>22.679738645886076</v>
      </c>
      <c r="W437" s="140">
        <v>23.26882527782924</v>
      </c>
      <c r="X437" s="140">
        <v>23.560425005254604</v>
      </c>
      <c r="Y437" s="140">
        <v>23.85391328637559</v>
      </c>
      <c r="Z437" s="140">
        <v>24.079269461752407</v>
      </c>
      <c r="AB437" s="139">
        <f>Z437</f>
        <v>24.079269461752407</v>
      </c>
    </row>
    <row r="438" spans="1:28" x14ac:dyDescent="0.2">
      <c r="A438" s="127" t="str">
        <f>'Scenario List'!$A$11</f>
        <v>9- Low Economic Growth Loads</v>
      </c>
      <c r="B438" s="128" t="s">
        <v>4</v>
      </c>
      <c r="D438" s="140">
        <v>3.3988574890708785</v>
      </c>
      <c r="E438" s="140">
        <v>7.3923098602622934</v>
      </c>
      <c r="F438" s="140">
        <v>11.945377777309547</v>
      </c>
      <c r="G438" s="140">
        <v>16.840029456473655</v>
      </c>
      <c r="H438" s="140">
        <v>22.166155735413561</v>
      </c>
      <c r="I438" s="140">
        <v>27.934041270900025</v>
      </c>
      <c r="J438" s="140">
        <v>33.927913413437267</v>
      </c>
      <c r="K438" s="140">
        <v>39.751811860511651</v>
      </c>
      <c r="L438" s="140">
        <v>45.610067923070993</v>
      </c>
      <c r="M438" s="140">
        <v>51.242444716362932</v>
      </c>
      <c r="N438" s="140">
        <v>56.208063627471802</v>
      </c>
      <c r="O438" s="140">
        <v>60.694955627790932</v>
      </c>
      <c r="P438" s="140">
        <v>64.725473239771588</v>
      </c>
      <c r="Q438" s="140">
        <v>68.38371906031476</v>
      </c>
      <c r="R438" s="140">
        <v>71.66098073406819</v>
      </c>
      <c r="S438" s="140">
        <v>74.300376944135451</v>
      </c>
      <c r="T438" s="140">
        <v>76.722728286422139</v>
      </c>
      <c r="U438" s="140">
        <v>78.916200750367295</v>
      </c>
      <c r="V438" s="140">
        <v>80.941715141163641</v>
      </c>
      <c r="W438" s="140">
        <v>82.892733731611855</v>
      </c>
      <c r="X438" s="140">
        <v>83.958249388178018</v>
      </c>
      <c r="Y438" s="140">
        <v>85.032108768706976</v>
      </c>
      <c r="Z438" s="140">
        <v>85.815134900455448</v>
      </c>
      <c r="AB438" s="139">
        <f>Z438</f>
        <v>85.815134900455448</v>
      </c>
    </row>
    <row r="441" spans="1:28" x14ac:dyDescent="0.2">
      <c r="A441" s="127" t="str">
        <f>'Scenario List'!$A$12</f>
        <v>10- High Economic Growth Loads</v>
      </c>
      <c r="B441" s="131" t="s">
        <v>11</v>
      </c>
    </row>
    <row r="442" spans="1:28" x14ac:dyDescent="0.2">
      <c r="A442" s="127" t="str">
        <f>'Scenario List'!$A$12</f>
        <v>10- High Economic Growth Loads</v>
      </c>
      <c r="B442" s="128" t="s">
        <v>12</v>
      </c>
      <c r="D442" s="140">
        <v>0</v>
      </c>
      <c r="E442" s="140">
        <v>0</v>
      </c>
      <c r="F442" s="140">
        <v>0</v>
      </c>
      <c r="G442" s="140">
        <v>0</v>
      </c>
      <c r="H442" s="140">
        <v>0</v>
      </c>
      <c r="I442" s="140">
        <v>0</v>
      </c>
      <c r="J442" s="140">
        <v>0</v>
      </c>
      <c r="K442" s="140">
        <v>0</v>
      </c>
      <c r="L442" s="140">
        <v>0</v>
      </c>
      <c r="M442" s="140">
        <v>0</v>
      </c>
      <c r="N442" s="140">
        <v>0</v>
      </c>
      <c r="O442" s="140">
        <v>0</v>
      </c>
      <c r="P442" s="140">
        <v>0</v>
      </c>
      <c r="Q442" s="140">
        <v>0</v>
      </c>
      <c r="R442" s="140">
        <v>0</v>
      </c>
      <c r="S442" s="140">
        <v>0</v>
      </c>
      <c r="T442" s="140">
        <v>0</v>
      </c>
      <c r="U442" s="140">
        <v>0</v>
      </c>
      <c r="V442" s="140">
        <v>0</v>
      </c>
      <c r="W442" s="140">
        <v>0</v>
      </c>
      <c r="X442" s="140">
        <v>0</v>
      </c>
      <c r="Y442" s="140">
        <v>0</v>
      </c>
      <c r="Z442" s="140">
        <v>0</v>
      </c>
      <c r="AB442" s="139">
        <f>SUM(C442:Z442)</f>
        <v>0</v>
      </c>
    </row>
    <row r="443" spans="1:28" x14ac:dyDescent="0.2">
      <c r="A443" s="127" t="str">
        <f>'Scenario List'!$A$12</f>
        <v>10- High Economic Growth Loads</v>
      </c>
      <c r="B443" s="128" t="s">
        <v>13</v>
      </c>
      <c r="D443" s="140">
        <v>0</v>
      </c>
      <c r="E443" s="140">
        <v>0</v>
      </c>
      <c r="F443" s="140">
        <v>0</v>
      </c>
      <c r="G443" s="140">
        <v>0</v>
      </c>
      <c r="H443" s="140">
        <v>0</v>
      </c>
      <c r="I443" s="140">
        <v>0</v>
      </c>
      <c r="J443" s="140">
        <v>0</v>
      </c>
      <c r="K443" s="140">
        <v>0</v>
      </c>
      <c r="L443" s="140">
        <v>0</v>
      </c>
      <c r="M443" s="140">
        <v>0</v>
      </c>
      <c r="N443" s="140">
        <v>0</v>
      </c>
      <c r="O443" s="140">
        <v>0</v>
      </c>
      <c r="P443" s="140">
        <v>0</v>
      </c>
      <c r="Q443" s="140">
        <v>0</v>
      </c>
      <c r="R443" s="140">
        <v>0</v>
      </c>
      <c r="S443" s="140">
        <v>0</v>
      </c>
      <c r="T443" s="140">
        <v>0</v>
      </c>
      <c r="U443" s="140">
        <v>0</v>
      </c>
      <c r="V443" s="140">
        <v>0</v>
      </c>
      <c r="W443" s="140">
        <v>0</v>
      </c>
      <c r="X443" s="140">
        <v>0</v>
      </c>
      <c r="Y443" s="140">
        <v>0</v>
      </c>
      <c r="Z443" s="140">
        <v>0</v>
      </c>
      <c r="AB443" s="139">
        <f t="shared" ref="AB443:AB450" si="27">SUM(C443:Z443)</f>
        <v>0</v>
      </c>
    </row>
    <row r="444" spans="1:28" x14ac:dyDescent="0.2">
      <c r="A444" s="127" t="str">
        <f>'Scenario List'!$A$12</f>
        <v>10- High Economic Growth Loads</v>
      </c>
      <c r="B444" s="128" t="s">
        <v>14</v>
      </c>
      <c r="D444" s="140">
        <v>0</v>
      </c>
      <c r="E444" s="140">
        <v>0</v>
      </c>
      <c r="F444" s="140">
        <v>0</v>
      </c>
      <c r="G444" s="140">
        <v>0</v>
      </c>
      <c r="H444" s="140">
        <v>0</v>
      </c>
      <c r="I444" s="140">
        <v>0</v>
      </c>
      <c r="J444" s="140">
        <v>0</v>
      </c>
      <c r="K444" s="140">
        <v>0</v>
      </c>
      <c r="L444" s="140">
        <v>0</v>
      </c>
      <c r="M444" s="140">
        <v>0</v>
      </c>
      <c r="N444" s="140">
        <v>0</v>
      </c>
      <c r="O444" s="140">
        <v>0</v>
      </c>
      <c r="P444" s="140">
        <v>0</v>
      </c>
      <c r="Q444" s="140">
        <v>0</v>
      </c>
      <c r="R444" s="140">
        <v>0</v>
      </c>
      <c r="S444" s="140">
        <v>0</v>
      </c>
      <c r="T444" s="140">
        <v>0</v>
      </c>
      <c r="U444" s="140">
        <v>0</v>
      </c>
      <c r="V444" s="140">
        <v>0</v>
      </c>
      <c r="W444" s="140">
        <v>0</v>
      </c>
      <c r="X444" s="140">
        <v>0</v>
      </c>
      <c r="Y444" s="140">
        <v>0</v>
      </c>
      <c r="Z444" s="140">
        <v>0</v>
      </c>
      <c r="AB444" s="139">
        <f t="shared" si="27"/>
        <v>0</v>
      </c>
    </row>
    <row r="445" spans="1:28" x14ac:dyDescent="0.2">
      <c r="A445" s="127" t="str">
        <f>'Scenario List'!$A$12</f>
        <v>10- High Economic Growth Loads</v>
      </c>
      <c r="B445" s="128" t="s">
        <v>15</v>
      </c>
      <c r="D445" s="140">
        <v>0</v>
      </c>
      <c r="E445" s="140">
        <v>0</v>
      </c>
      <c r="F445" s="140">
        <v>0</v>
      </c>
      <c r="G445" s="140">
        <v>0</v>
      </c>
      <c r="H445" s="140">
        <v>0</v>
      </c>
      <c r="I445" s="140">
        <v>0</v>
      </c>
      <c r="J445" s="140">
        <v>0</v>
      </c>
      <c r="K445" s="140">
        <v>0</v>
      </c>
      <c r="L445" s="140">
        <v>0</v>
      </c>
      <c r="M445" s="140">
        <v>0</v>
      </c>
      <c r="N445" s="140">
        <v>0</v>
      </c>
      <c r="O445" s="140">
        <v>0</v>
      </c>
      <c r="P445" s="140">
        <v>0</v>
      </c>
      <c r="Q445" s="140">
        <v>0</v>
      </c>
      <c r="R445" s="140">
        <v>0</v>
      </c>
      <c r="S445" s="140">
        <v>0</v>
      </c>
      <c r="T445" s="140">
        <v>0</v>
      </c>
      <c r="U445" s="140">
        <v>0</v>
      </c>
      <c r="V445" s="140">
        <v>0</v>
      </c>
      <c r="W445" s="140">
        <v>0</v>
      </c>
      <c r="X445" s="140">
        <v>0</v>
      </c>
      <c r="Y445" s="140">
        <v>0</v>
      </c>
      <c r="Z445" s="140">
        <v>0</v>
      </c>
      <c r="AB445" s="139">
        <f t="shared" si="27"/>
        <v>0</v>
      </c>
    </row>
    <row r="446" spans="1:28" x14ac:dyDescent="0.2">
      <c r="A446" s="127" t="str">
        <f>'Scenario List'!$A$12</f>
        <v>10- High Economic Growth Loads</v>
      </c>
      <c r="B446" s="128" t="s">
        <v>16</v>
      </c>
      <c r="D446" s="140">
        <v>0</v>
      </c>
      <c r="E446" s="140">
        <v>0</v>
      </c>
      <c r="F446" s="140">
        <v>0</v>
      </c>
      <c r="G446" s="140">
        <v>0</v>
      </c>
      <c r="H446" s="140">
        <v>0</v>
      </c>
      <c r="I446" s="140">
        <v>0</v>
      </c>
      <c r="J446" s="140">
        <v>0</v>
      </c>
      <c r="K446" s="140">
        <v>0</v>
      </c>
      <c r="L446" s="140">
        <v>0</v>
      </c>
      <c r="M446" s="140">
        <v>0</v>
      </c>
      <c r="N446" s="140">
        <v>0</v>
      </c>
      <c r="O446" s="140">
        <v>0</v>
      </c>
      <c r="P446" s="140">
        <v>0</v>
      </c>
      <c r="Q446" s="140">
        <v>0</v>
      </c>
      <c r="R446" s="140">
        <v>0</v>
      </c>
      <c r="S446" s="140">
        <v>81.230824838016972</v>
      </c>
      <c r="T446" s="140">
        <v>0</v>
      </c>
      <c r="U446" s="140">
        <v>50</v>
      </c>
      <c r="V446" s="140">
        <v>0</v>
      </c>
      <c r="W446" s="140">
        <v>0</v>
      </c>
      <c r="X446" s="140">
        <v>61.001995263559849</v>
      </c>
      <c r="Y446" s="140">
        <v>50</v>
      </c>
      <c r="Z446" s="140">
        <v>0</v>
      </c>
      <c r="AB446" s="139">
        <f t="shared" si="27"/>
        <v>242.23282010157683</v>
      </c>
    </row>
    <row r="447" spans="1:28" x14ac:dyDescent="0.2">
      <c r="A447" s="127" t="str">
        <f>'Scenario List'!$A$12</f>
        <v>10- High Economic Growth Loads</v>
      </c>
      <c r="B447" s="128" t="s">
        <v>85</v>
      </c>
      <c r="D447" s="140">
        <v>0</v>
      </c>
      <c r="E447" s="140">
        <v>0</v>
      </c>
      <c r="F447" s="140">
        <v>0</v>
      </c>
      <c r="G447" s="140">
        <v>0</v>
      </c>
      <c r="H447" s="140">
        <v>0</v>
      </c>
      <c r="I447" s="140">
        <v>0</v>
      </c>
      <c r="J447" s="140">
        <v>0</v>
      </c>
      <c r="K447" s="140">
        <v>0</v>
      </c>
      <c r="L447" s="140">
        <v>0</v>
      </c>
      <c r="M447" s="140">
        <v>0</v>
      </c>
      <c r="N447" s="140">
        <v>0</v>
      </c>
      <c r="O447" s="140">
        <v>0</v>
      </c>
      <c r="P447" s="140">
        <v>0</v>
      </c>
      <c r="Q447" s="140">
        <v>0</v>
      </c>
      <c r="R447" s="140">
        <v>0</v>
      </c>
      <c r="S447" s="140">
        <v>0</v>
      </c>
      <c r="T447" s="140">
        <v>0</v>
      </c>
      <c r="U447" s="140">
        <v>0</v>
      </c>
      <c r="V447" s="140">
        <v>0</v>
      </c>
      <c r="W447" s="140">
        <v>0</v>
      </c>
      <c r="X447" s="140">
        <v>0</v>
      </c>
      <c r="Y447" s="140">
        <v>0</v>
      </c>
      <c r="Z447" s="140">
        <v>0</v>
      </c>
      <c r="AB447" s="139">
        <f t="shared" si="27"/>
        <v>0</v>
      </c>
    </row>
    <row r="448" spans="1:28" x14ac:dyDescent="0.2">
      <c r="A448" s="127" t="str">
        <f>'Scenario List'!$A$12</f>
        <v>10- High Economic Growth Loads</v>
      </c>
      <c r="B448" s="128" t="s">
        <v>86</v>
      </c>
      <c r="D448" s="140">
        <v>0</v>
      </c>
      <c r="E448" s="140">
        <v>0</v>
      </c>
      <c r="F448" s="140">
        <v>0</v>
      </c>
      <c r="G448" s="140">
        <v>0</v>
      </c>
      <c r="H448" s="140">
        <v>0</v>
      </c>
      <c r="I448" s="140">
        <v>0</v>
      </c>
      <c r="J448" s="140">
        <v>0</v>
      </c>
      <c r="K448" s="140">
        <v>0</v>
      </c>
      <c r="L448" s="140">
        <v>0</v>
      </c>
      <c r="M448" s="140">
        <v>0</v>
      </c>
      <c r="N448" s="140">
        <v>0</v>
      </c>
      <c r="O448" s="140">
        <v>0</v>
      </c>
      <c r="P448" s="140">
        <v>0</v>
      </c>
      <c r="Q448" s="140">
        <v>0</v>
      </c>
      <c r="R448" s="140">
        <v>0</v>
      </c>
      <c r="S448" s="140">
        <v>0</v>
      </c>
      <c r="T448" s="140">
        <v>0</v>
      </c>
      <c r="U448" s="140">
        <v>0</v>
      </c>
      <c r="V448" s="140">
        <v>0</v>
      </c>
      <c r="W448" s="140">
        <v>0</v>
      </c>
      <c r="X448" s="140">
        <v>0</v>
      </c>
      <c r="Y448" s="140">
        <v>0</v>
      </c>
      <c r="Z448" s="140">
        <v>0</v>
      </c>
      <c r="AB448" s="139">
        <f t="shared" si="27"/>
        <v>0</v>
      </c>
    </row>
    <row r="449" spans="1:28" x14ac:dyDescent="0.2">
      <c r="A449" s="127" t="str">
        <f>'Scenario List'!$A$12</f>
        <v>10- High Economic Growth Loads</v>
      </c>
      <c r="B449" s="128" t="s">
        <v>87</v>
      </c>
      <c r="D449" s="140">
        <v>0</v>
      </c>
      <c r="E449" s="140">
        <v>0</v>
      </c>
      <c r="F449" s="140">
        <v>0</v>
      </c>
      <c r="G449" s="140">
        <v>0</v>
      </c>
      <c r="H449" s="140">
        <v>0</v>
      </c>
      <c r="I449" s="140">
        <v>0</v>
      </c>
      <c r="J449" s="140">
        <v>0</v>
      </c>
      <c r="K449" s="140">
        <v>0</v>
      </c>
      <c r="L449" s="140">
        <v>0</v>
      </c>
      <c r="M449" s="140">
        <v>0</v>
      </c>
      <c r="N449" s="140">
        <v>5</v>
      </c>
      <c r="O449" s="140">
        <v>0</v>
      </c>
      <c r="P449" s="140">
        <v>0</v>
      </c>
      <c r="Q449" s="140">
        <v>0</v>
      </c>
      <c r="R449" s="140">
        <v>0</v>
      </c>
      <c r="S449" s="140">
        <v>0</v>
      </c>
      <c r="T449" s="140">
        <v>0</v>
      </c>
      <c r="U449" s="140">
        <v>0</v>
      </c>
      <c r="V449" s="140">
        <v>0</v>
      </c>
      <c r="W449" s="140">
        <v>0</v>
      </c>
      <c r="X449" s="140">
        <v>0</v>
      </c>
      <c r="Y449" s="140">
        <v>0</v>
      </c>
      <c r="Z449" s="140">
        <v>0</v>
      </c>
      <c r="AB449" s="139">
        <f t="shared" si="27"/>
        <v>5</v>
      </c>
    </row>
    <row r="450" spans="1:28" x14ac:dyDescent="0.2">
      <c r="A450" s="127" t="str">
        <f>'Scenario List'!$A$12</f>
        <v>10- High Economic Growth Loads</v>
      </c>
      <c r="B450" s="128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  <c r="AB450" s="139">
        <f t="shared" si="27"/>
        <v>0</v>
      </c>
    </row>
    <row r="451" spans="1:28" x14ac:dyDescent="0.2">
      <c r="A451" s="127" t="str">
        <f>'Scenario List'!$A$12</f>
        <v>10- High Economic Growth Loads</v>
      </c>
      <c r="B451" s="128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  <c r="AB451" s="139"/>
    </row>
    <row r="452" spans="1:28" x14ac:dyDescent="0.2">
      <c r="A452" s="127" t="str">
        <f>'Scenario List'!$A$12</f>
        <v>10- High Economic Growth Loads</v>
      </c>
      <c r="B452" s="128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  <c r="AB452" s="139"/>
    </row>
    <row r="453" spans="1:28" x14ac:dyDescent="0.2">
      <c r="A453" s="127" t="str">
        <f>'Scenario List'!$A$12</f>
        <v>10- High Economic Growth Loads</v>
      </c>
      <c r="B453" s="131" t="s">
        <v>9</v>
      </c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  <c r="AB453" s="139"/>
    </row>
    <row r="454" spans="1:28" x14ac:dyDescent="0.2">
      <c r="A454" s="127" t="str">
        <f>'Scenario List'!$A$12</f>
        <v>10- High Economic Growth Loads</v>
      </c>
      <c r="B454" s="128" t="s">
        <v>12</v>
      </c>
      <c r="D454" s="140">
        <v>0</v>
      </c>
      <c r="E454" s="140">
        <v>0</v>
      </c>
      <c r="F454" s="140">
        <v>0</v>
      </c>
      <c r="G454" s="140">
        <v>0</v>
      </c>
      <c r="H454" s="140">
        <v>0</v>
      </c>
      <c r="I454" s="140">
        <v>0</v>
      </c>
      <c r="J454" s="140">
        <v>0</v>
      </c>
      <c r="K454" s="140">
        <v>0</v>
      </c>
      <c r="L454" s="140">
        <v>0</v>
      </c>
      <c r="M454" s="140">
        <v>0</v>
      </c>
      <c r="N454" s="140">
        <v>0</v>
      </c>
      <c r="O454" s="140">
        <v>0</v>
      </c>
      <c r="P454" s="140">
        <v>0</v>
      </c>
      <c r="Q454" s="140">
        <v>0</v>
      </c>
      <c r="R454" s="140">
        <v>0</v>
      </c>
      <c r="S454" s="140">
        <v>0</v>
      </c>
      <c r="T454" s="140">
        <v>0</v>
      </c>
      <c r="U454" s="140">
        <v>0</v>
      </c>
      <c r="V454" s="140">
        <v>0</v>
      </c>
      <c r="W454" s="140">
        <v>0</v>
      </c>
      <c r="X454" s="140">
        <v>0</v>
      </c>
      <c r="Y454" s="140">
        <v>0</v>
      </c>
      <c r="Z454" s="140">
        <v>0</v>
      </c>
      <c r="AB454" s="139">
        <f t="shared" ref="AB454:AB464" si="28">SUM(C454:Z454)</f>
        <v>0</v>
      </c>
    </row>
    <row r="455" spans="1:28" x14ac:dyDescent="0.2">
      <c r="A455" s="127" t="str">
        <f>'Scenario List'!$A$12</f>
        <v>10- High Economic Growth Loads</v>
      </c>
      <c r="B455" s="128" t="s">
        <v>13</v>
      </c>
      <c r="D455" s="140">
        <v>0</v>
      </c>
      <c r="E455" s="140">
        <v>0.66473685299456242</v>
      </c>
      <c r="F455" s="140">
        <v>0.68964228403936589</v>
      </c>
      <c r="G455" s="140">
        <v>0.71589898287222731</v>
      </c>
      <c r="H455" s="140">
        <v>0.74474658263594362</v>
      </c>
      <c r="I455" s="140">
        <v>0.77630090123003181</v>
      </c>
      <c r="J455" s="140">
        <v>0.80410589781311159</v>
      </c>
      <c r="K455" s="140">
        <v>0.83083714321396018</v>
      </c>
      <c r="L455" s="140">
        <v>0.86470310596301292</v>
      </c>
      <c r="M455" s="140">
        <v>0.89748888582622133</v>
      </c>
      <c r="N455" s="140">
        <v>0.9258530302664062</v>
      </c>
      <c r="O455" s="140">
        <v>0.14839972672363097</v>
      </c>
      <c r="P455" s="140">
        <v>0.23577152031954995</v>
      </c>
      <c r="Q455" s="140">
        <v>0.24612103006769503</v>
      </c>
      <c r="R455" s="140">
        <v>0.263157255869374</v>
      </c>
      <c r="S455" s="140">
        <v>0.2</v>
      </c>
      <c r="T455" s="140">
        <v>0.20000000000000018</v>
      </c>
      <c r="U455" s="140">
        <v>0.2</v>
      </c>
      <c r="V455" s="140">
        <v>0.20779413635684973</v>
      </c>
      <c r="W455" s="140">
        <v>0.21490248099014991</v>
      </c>
      <c r="X455" s="140">
        <v>0.22641342476362114</v>
      </c>
      <c r="Y455" s="140">
        <v>0.36630405158959661</v>
      </c>
      <c r="Z455" s="140">
        <v>0.40705468290624802</v>
      </c>
      <c r="AB455" s="139">
        <f t="shared" si="28"/>
        <v>10.830231976441555</v>
      </c>
    </row>
    <row r="456" spans="1:28" x14ac:dyDescent="0.2">
      <c r="A456" s="127" t="str">
        <f>'Scenario List'!$A$12</f>
        <v>10- High Economic Growth Loads</v>
      </c>
      <c r="B456" s="128" t="s">
        <v>14</v>
      </c>
      <c r="D456" s="140">
        <v>0</v>
      </c>
      <c r="E456" s="140">
        <v>0</v>
      </c>
      <c r="F456" s="140">
        <v>0</v>
      </c>
      <c r="G456" s="140">
        <v>0</v>
      </c>
      <c r="H456" s="140">
        <v>0</v>
      </c>
      <c r="I456" s="140">
        <v>0</v>
      </c>
      <c r="J456" s="140">
        <v>0</v>
      </c>
      <c r="K456" s="140">
        <v>0</v>
      </c>
      <c r="L456" s="140">
        <v>0</v>
      </c>
      <c r="M456" s="140">
        <v>0</v>
      </c>
      <c r="N456" s="140">
        <v>0</v>
      </c>
      <c r="O456" s="140">
        <v>0</v>
      </c>
      <c r="P456" s="140">
        <v>0</v>
      </c>
      <c r="Q456" s="140">
        <v>0</v>
      </c>
      <c r="R456" s="140">
        <v>0</v>
      </c>
      <c r="S456" s="140">
        <v>0.1</v>
      </c>
      <c r="T456" s="140">
        <v>0.10000000000000009</v>
      </c>
      <c r="U456" s="140">
        <v>0.10000000000000009</v>
      </c>
      <c r="V456" s="140">
        <v>0.10389706817842487</v>
      </c>
      <c r="W456" s="140">
        <v>0.10745124049507496</v>
      </c>
      <c r="X456" s="140">
        <v>0.11320671238181057</v>
      </c>
      <c r="Y456" s="140">
        <v>0</v>
      </c>
      <c r="Z456" s="140">
        <v>0</v>
      </c>
      <c r="AB456" s="139">
        <f t="shared" si="28"/>
        <v>0.62455502105531058</v>
      </c>
    </row>
    <row r="457" spans="1:28" x14ac:dyDescent="0.2">
      <c r="A457" s="127" t="str">
        <f>'Scenario List'!$A$12</f>
        <v>10- High Economic Growth Loads</v>
      </c>
      <c r="B457" s="128" t="s">
        <v>15</v>
      </c>
      <c r="D457" s="140">
        <v>0</v>
      </c>
      <c r="E457" s="140">
        <v>0</v>
      </c>
      <c r="F457" s="140">
        <v>0</v>
      </c>
      <c r="G457" s="140">
        <v>0</v>
      </c>
      <c r="H457" s="140">
        <v>0</v>
      </c>
      <c r="I457" s="140">
        <v>0</v>
      </c>
      <c r="J457" s="140">
        <v>0</v>
      </c>
      <c r="K457" s="140">
        <v>200</v>
      </c>
      <c r="L457" s="140">
        <v>0</v>
      </c>
      <c r="M457" s="140">
        <v>199.99999999999997</v>
      </c>
      <c r="N457" s="140">
        <v>0</v>
      </c>
      <c r="O457" s="140">
        <v>0</v>
      </c>
      <c r="P457" s="140">
        <v>0</v>
      </c>
      <c r="Q457" s="140">
        <v>0</v>
      </c>
      <c r="R457" s="140">
        <v>0</v>
      </c>
      <c r="S457" s="140">
        <v>0</v>
      </c>
      <c r="T457" s="140">
        <v>0</v>
      </c>
      <c r="U457" s="140">
        <v>0</v>
      </c>
      <c r="V457" s="140">
        <v>140</v>
      </c>
      <c r="W457" s="140">
        <v>105</v>
      </c>
      <c r="X457" s="140">
        <v>0</v>
      </c>
      <c r="Y457" s="140">
        <v>200</v>
      </c>
      <c r="Z457" s="140">
        <v>200</v>
      </c>
      <c r="AB457" s="139">
        <f t="shared" si="28"/>
        <v>1045</v>
      </c>
    </row>
    <row r="458" spans="1:28" x14ac:dyDescent="0.2">
      <c r="A458" s="127" t="str">
        <f>'Scenario List'!$A$12</f>
        <v>10- High Economic Growth Loads</v>
      </c>
      <c r="B458" s="128" t="s">
        <v>16</v>
      </c>
      <c r="D458" s="140">
        <v>0</v>
      </c>
      <c r="E458" s="140">
        <v>0</v>
      </c>
      <c r="F458" s="140">
        <v>0</v>
      </c>
      <c r="G458" s="140">
        <v>0</v>
      </c>
      <c r="H458" s="140">
        <v>0</v>
      </c>
      <c r="I458" s="140">
        <v>0</v>
      </c>
      <c r="J458" s="140">
        <v>0</v>
      </c>
      <c r="K458" s="140">
        <v>0</v>
      </c>
      <c r="L458" s="140">
        <v>0</v>
      </c>
      <c r="M458" s="140">
        <v>0</v>
      </c>
      <c r="N458" s="140">
        <v>0</v>
      </c>
      <c r="O458" s="140">
        <v>0</v>
      </c>
      <c r="P458" s="140">
        <v>0</v>
      </c>
      <c r="Q458" s="140">
        <v>0</v>
      </c>
      <c r="R458" s="140">
        <v>0</v>
      </c>
      <c r="S458" s="140">
        <v>0</v>
      </c>
      <c r="T458" s="140">
        <v>0</v>
      </c>
      <c r="U458" s="140">
        <v>0</v>
      </c>
      <c r="V458" s="140">
        <v>53.232989216196493</v>
      </c>
      <c r="W458" s="140">
        <v>0</v>
      </c>
      <c r="X458" s="140">
        <v>0</v>
      </c>
      <c r="Y458" s="140">
        <v>0</v>
      </c>
      <c r="Z458" s="140">
        <v>0</v>
      </c>
      <c r="AB458" s="139">
        <f t="shared" si="28"/>
        <v>53.232989216196493</v>
      </c>
    </row>
    <row r="459" spans="1:28" x14ac:dyDescent="0.2">
      <c r="A459" s="127" t="str">
        <f>'Scenario List'!$A$12</f>
        <v>10- High Economic Growth Loads</v>
      </c>
      <c r="B459" s="128" t="s">
        <v>85</v>
      </c>
      <c r="D459" s="140">
        <v>0</v>
      </c>
      <c r="E459" s="140">
        <v>0</v>
      </c>
      <c r="F459" s="140">
        <v>0</v>
      </c>
      <c r="G459" s="140">
        <v>0</v>
      </c>
      <c r="H459" s="140">
        <v>0</v>
      </c>
      <c r="I459" s="140">
        <v>0</v>
      </c>
      <c r="J459" s="140">
        <v>0</v>
      </c>
      <c r="K459" s="140">
        <v>0</v>
      </c>
      <c r="L459" s="140">
        <v>0</v>
      </c>
      <c r="M459" s="140">
        <v>0</v>
      </c>
      <c r="N459" s="140">
        <v>0</v>
      </c>
      <c r="O459" s="140">
        <v>0</v>
      </c>
      <c r="P459" s="140">
        <v>0</v>
      </c>
      <c r="Q459" s="140">
        <v>92.97671264977329</v>
      </c>
      <c r="R459" s="140">
        <v>0</v>
      </c>
      <c r="S459" s="140">
        <v>0</v>
      </c>
      <c r="T459" s="140">
        <v>0</v>
      </c>
      <c r="U459" s="140">
        <v>0</v>
      </c>
      <c r="V459" s="140">
        <v>0</v>
      </c>
      <c r="W459" s="140">
        <v>219.31553506805631</v>
      </c>
      <c r="X459" s="140">
        <v>0</v>
      </c>
      <c r="Y459" s="140">
        <v>0</v>
      </c>
      <c r="Z459" s="140">
        <v>333.58822833192181</v>
      </c>
      <c r="AB459" s="139">
        <f t="shared" si="28"/>
        <v>645.88047604975145</v>
      </c>
    </row>
    <row r="460" spans="1:28" x14ac:dyDescent="0.2">
      <c r="A460" s="127" t="str">
        <f>'Scenario List'!$A$12</f>
        <v>10- High Economic Growth Loads</v>
      </c>
      <c r="B460" s="128" t="s">
        <v>86</v>
      </c>
      <c r="D460" s="140">
        <v>0</v>
      </c>
      <c r="E460" s="140">
        <v>0</v>
      </c>
      <c r="F460" s="140">
        <v>0</v>
      </c>
      <c r="G460" s="140">
        <v>0</v>
      </c>
      <c r="H460" s="140">
        <v>0</v>
      </c>
      <c r="I460" s="140">
        <v>0</v>
      </c>
      <c r="J460" s="140">
        <v>0</v>
      </c>
      <c r="K460" s="140">
        <v>0</v>
      </c>
      <c r="L460" s="140">
        <v>0</v>
      </c>
      <c r="M460" s="140">
        <v>0</v>
      </c>
      <c r="N460" s="140">
        <v>0</v>
      </c>
      <c r="O460" s="140">
        <v>0</v>
      </c>
      <c r="P460" s="140">
        <v>0</v>
      </c>
      <c r="Q460" s="140">
        <v>0</v>
      </c>
      <c r="R460" s="140">
        <v>0</v>
      </c>
      <c r="S460" s="140">
        <v>0</v>
      </c>
      <c r="T460" s="140">
        <v>0</v>
      </c>
      <c r="U460" s="140">
        <v>0</v>
      </c>
      <c r="V460" s="140">
        <v>0</v>
      </c>
      <c r="W460" s="140">
        <v>0</v>
      </c>
      <c r="X460" s="140">
        <v>0</v>
      </c>
      <c r="Y460" s="140">
        <v>0</v>
      </c>
      <c r="Z460" s="140">
        <v>20</v>
      </c>
      <c r="AB460" s="139">
        <f t="shared" si="28"/>
        <v>20</v>
      </c>
    </row>
    <row r="461" spans="1:28" x14ac:dyDescent="0.2">
      <c r="A461" s="127" t="str">
        <f>'Scenario List'!$A$12</f>
        <v>10- High Economic Growth Loads</v>
      </c>
      <c r="B461" s="128" t="s">
        <v>87</v>
      </c>
      <c r="D461" s="140">
        <v>0</v>
      </c>
      <c r="E461" s="140">
        <v>0</v>
      </c>
      <c r="F461" s="140">
        <v>0</v>
      </c>
      <c r="G461" s="140">
        <v>0</v>
      </c>
      <c r="H461" s="140">
        <v>0</v>
      </c>
      <c r="I461" s="140">
        <v>0</v>
      </c>
      <c r="J461" s="140">
        <v>0</v>
      </c>
      <c r="K461" s="140">
        <v>0</v>
      </c>
      <c r="L461" s="140">
        <v>0</v>
      </c>
      <c r="M461" s="140">
        <v>0</v>
      </c>
      <c r="N461" s="140">
        <v>0</v>
      </c>
      <c r="O461" s="140">
        <v>0</v>
      </c>
      <c r="P461" s="140">
        <v>0</v>
      </c>
      <c r="Q461" s="140">
        <v>0</v>
      </c>
      <c r="R461" s="140">
        <v>0</v>
      </c>
      <c r="S461" s="140">
        <v>0</v>
      </c>
      <c r="T461" s="140">
        <v>0</v>
      </c>
      <c r="U461" s="140">
        <v>0</v>
      </c>
      <c r="V461" s="140">
        <v>0</v>
      </c>
      <c r="W461" s="140">
        <v>0</v>
      </c>
      <c r="X461" s="140">
        <v>0</v>
      </c>
      <c r="Y461" s="140">
        <v>0</v>
      </c>
      <c r="Z461" s="140">
        <v>0</v>
      </c>
      <c r="AB461" s="139">
        <f t="shared" si="28"/>
        <v>0</v>
      </c>
    </row>
    <row r="462" spans="1:28" x14ac:dyDescent="0.2">
      <c r="A462" s="127" t="str">
        <f>'Scenario List'!$A$12</f>
        <v>10- High Economic Growth Loads</v>
      </c>
      <c r="B462" s="128" t="s">
        <v>17</v>
      </c>
      <c r="D462" s="140">
        <v>0</v>
      </c>
      <c r="E462" s="140">
        <v>0</v>
      </c>
      <c r="F462" s="140">
        <v>6.7666466459931875</v>
      </c>
      <c r="G462" s="140">
        <v>0</v>
      </c>
      <c r="H462" s="140">
        <v>0</v>
      </c>
      <c r="I462" s="140">
        <v>0</v>
      </c>
      <c r="J462" s="140">
        <v>0</v>
      </c>
      <c r="K462" s="140">
        <v>0</v>
      </c>
      <c r="L462" s="140">
        <v>0</v>
      </c>
      <c r="M462" s="140">
        <v>0</v>
      </c>
      <c r="N462" s="140">
        <v>0</v>
      </c>
      <c r="O462" s="140">
        <v>0</v>
      </c>
      <c r="P462" s="140">
        <v>0</v>
      </c>
      <c r="Q462" s="140">
        <v>0</v>
      </c>
      <c r="R462" s="140">
        <v>0</v>
      </c>
      <c r="S462" s="140">
        <v>0</v>
      </c>
      <c r="T462" s="140">
        <v>0</v>
      </c>
      <c r="U462" s="140">
        <v>0</v>
      </c>
      <c r="V462" s="140">
        <v>0</v>
      </c>
      <c r="W462" s="140">
        <v>0</v>
      </c>
      <c r="X462" s="140">
        <v>0</v>
      </c>
      <c r="Y462" s="140">
        <v>0</v>
      </c>
      <c r="Z462" s="140">
        <v>0</v>
      </c>
      <c r="AB462" s="139">
        <f t="shared" si="28"/>
        <v>6.7666466459931875</v>
      </c>
    </row>
    <row r="463" spans="1:28" x14ac:dyDescent="0.2">
      <c r="A463" s="127" t="str">
        <f>'Scenario List'!$A$12</f>
        <v>10- High Economic Growth Loads</v>
      </c>
      <c r="B463" s="128" t="s">
        <v>18</v>
      </c>
      <c r="D463" s="140">
        <v>1.4924082571639901</v>
      </c>
      <c r="E463" s="140">
        <v>1.8635390321541856</v>
      </c>
      <c r="F463" s="140">
        <v>2.102613209798379</v>
      </c>
      <c r="G463" s="140">
        <v>2.4796557279561178</v>
      </c>
      <c r="H463" s="140">
        <v>2.6546246364356758</v>
      </c>
      <c r="I463" s="140">
        <v>2.8221318466559318</v>
      </c>
      <c r="J463" s="140">
        <v>2.8333097204145563</v>
      </c>
      <c r="K463" s="140">
        <v>2.7025667648392542</v>
      </c>
      <c r="L463" s="140">
        <v>3.0904666901381148</v>
      </c>
      <c r="M463" s="140">
        <v>3.2590206075522481</v>
      </c>
      <c r="N463" s="140">
        <v>3.1358807197928513</v>
      </c>
      <c r="O463" s="140">
        <v>3.2108253238081659</v>
      </c>
      <c r="P463" s="140">
        <v>3.1532573938147053</v>
      </c>
      <c r="Q463" s="140">
        <v>3.1911690376512851</v>
      </c>
      <c r="R463" s="140">
        <v>2.8680890796783558</v>
      </c>
      <c r="S463" s="140">
        <v>2.5648842698481928</v>
      </c>
      <c r="T463" s="140">
        <v>2.4557598714173494</v>
      </c>
      <c r="U463" s="140">
        <v>2.4649936459563335</v>
      </c>
      <c r="V463" s="140">
        <v>2.1855155765501522</v>
      </c>
      <c r="W463" s="140">
        <v>2.2572620103081462</v>
      </c>
      <c r="X463" s="140">
        <v>1.3726103159461971</v>
      </c>
      <c r="Y463" s="140">
        <v>1.5790497269017081</v>
      </c>
      <c r="Z463" s="140">
        <v>0.87361013080288075</v>
      </c>
      <c r="AB463" s="139">
        <f t="shared" si="28"/>
        <v>56.613243595584777</v>
      </c>
    </row>
    <row r="464" spans="1:28" x14ac:dyDescent="0.2">
      <c r="A464" s="127" t="str">
        <f>'Scenario List'!$A$12</f>
        <v>10- High Economic Growth Loads</v>
      </c>
      <c r="B464" s="128" t="s">
        <v>19</v>
      </c>
      <c r="D464" s="140">
        <v>1.3991819732249611</v>
      </c>
      <c r="E464" s="140">
        <v>1.7792885076105955</v>
      </c>
      <c r="F464" s="140">
        <v>2.051257485537628</v>
      </c>
      <c r="G464" s="140">
        <v>2.4872656646469657</v>
      </c>
      <c r="H464" s="140">
        <v>2.7227461235550141</v>
      </c>
      <c r="I464" s="140">
        <v>2.9481453118969583</v>
      </c>
      <c r="J464" s="140">
        <v>3.0100621175620574</v>
      </c>
      <c r="K464" s="140">
        <v>2.9364111514453448</v>
      </c>
      <c r="L464" s="140">
        <v>3.3499389997571463</v>
      </c>
      <c r="M464" s="140">
        <v>3.5944327510193546</v>
      </c>
      <c r="N464" s="140">
        <v>3.5115821293446494</v>
      </c>
      <c r="O464" s="140">
        <v>3.5847639775205415</v>
      </c>
      <c r="P464" s="140">
        <v>3.4957049160862326</v>
      </c>
      <c r="Q464" s="140">
        <v>3.4828548671968136</v>
      </c>
      <c r="R464" s="140">
        <v>3.0808692820134524</v>
      </c>
      <c r="S464" s="140">
        <v>2.6597195756024945</v>
      </c>
      <c r="T464" s="140">
        <v>2.5231420426912621</v>
      </c>
      <c r="U464" s="140">
        <v>2.4596556200711461</v>
      </c>
      <c r="V464" s="140">
        <v>2.0864393318602694</v>
      </c>
      <c r="W464" s="140">
        <v>2.1486153188909896</v>
      </c>
      <c r="X464" s="140">
        <v>1.3434569864764256</v>
      </c>
      <c r="Y464" s="140">
        <v>1.5407124218853951</v>
      </c>
      <c r="Z464" s="140">
        <v>0.86011889400235475</v>
      </c>
      <c r="AB464" s="139">
        <f t="shared" si="28"/>
        <v>59.056365449898053</v>
      </c>
    </row>
    <row r="465" spans="1:28" x14ac:dyDescent="0.2">
      <c r="A465" s="127" t="str">
        <f>'Scenario List'!$A$12</f>
        <v>10- High Economic Growth Loads</v>
      </c>
      <c r="B465" s="128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B465" s="139"/>
    </row>
    <row r="466" spans="1:28" x14ac:dyDescent="0.2">
      <c r="A466" s="127" t="str">
        <f>'Scenario List'!$A$12</f>
        <v>10- High Economic Growth Loads</v>
      </c>
      <c r="B466" s="132" t="s">
        <v>8</v>
      </c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  <c r="AB466" s="139"/>
    </row>
    <row r="467" spans="1:28" x14ac:dyDescent="0.2">
      <c r="A467" s="127" t="str">
        <f>'Scenario List'!$A$12</f>
        <v>10- High Economic Growth Loads</v>
      </c>
      <c r="B467" s="128" t="s">
        <v>12</v>
      </c>
      <c r="D467" s="140">
        <v>0</v>
      </c>
      <c r="E467" s="140">
        <v>0</v>
      </c>
      <c r="F467" s="140">
        <v>0</v>
      </c>
      <c r="G467" s="140">
        <v>0</v>
      </c>
      <c r="H467" s="140">
        <v>0</v>
      </c>
      <c r="I467" s="140">
        <v>0</v>
      </c>
      <c r="J467" s="140">
        <v>0</v>
      </c>
      <c r="K467" s="140">
        <v>0</v>
      </c>
      <c r="L467" s="140">
        <v>0</v>
      </c>
      <c r="M467" s="140">
        <v>0</v>
      </c>
      <c r="N467" s="140">
        <v>0</v>
      </c>
      <c r="O467" s="140">
        <v>97.69953409771837</v>
      </c>
      <c r="P467" s="140">
        <v>0</v>
      </c>
      <c r="Q467" s="140">
        <v>0</v>
      </c>
      <c r="R467" s="140">
        <v>0</v>
      </c>
      <c r="S467" s="140">
        <v>0</v>
      </c>
      <c r="T467" s="140">
        <v>0</v>
      </c>
      <c r="U467" s="140">
        <v>0</v>
      </c>
      <c r="V467" s="140">
        <v>90.247500000000059</v>
      </c>
      <c r="W467" s="140">
        <v>93.572904799318195</v>
      </c>
      <c r="X467" s="140">
        <v>0</v>
      </c>
      <c r="Y467" s="140">
        <v>0</v>
      </c>
      <c r="Z467" s="140">
        <v>67.599585053212067</v>
      </c>
      <c r="AB467" s="139">
        <f t="shared" ref="AB467:AB477" si="29">SUM(C467:Z467)</f>
        <v>349.11952395024866</v>
      </c>
    </row>
    <row r="468" spans="1:28" x14ac:dyDescent="0.2">
      <c r="A468" s="127" t="str">
        <f>'Scenario List'!$A$12</f>
        <v>10- High Economic Growth Loads</v>
      </c>
      <c r="B468" s="128" t="s">
        <v>13</v>
      </c>
      <c r="D468" s="140">
        <v>0</v>
      </c>
      <c r="E468" s="140">
        <v>0</v>
      </c>
      <c r="F468" s="140">
        <v>0</v>
      </c>
      <c r="G468" s="140">
        <v>0</v>
      </c>
      <c r="H468" s="140">
        <v>0</v>
      </c>
      <c r="I468" s="140">
        <v>0</v>
      </c>
      <c r="J468" s="140">
        <v>0</v>
      </c>
      <c r="K468" s="140">
        <v>0</v>
      </c>
      <c r="L468" s="140">
        <v>0</v>
      </c>
      <c r="M468" s="140">
        <v>0</v>
      </c>
      <c r="N468" s="140">
        <v>0</v>
      </c>
      <c r="O468" s="140">
        <v>0</v>
      </c>
      <c r="P468" s="140">
        <v>0</v>
      </c>
      <c r="Q468" s="140">
        <v>0</v>
      </c>
      <c r="R468" s="140">
        <v>0</v>
      </c>
      <c r="S468" s="140">
        <v>0</v>
      </c>
      <c r="T468" s="140">
        <v>0</v>
      </c>
      <c r="U468" s="140">
        <v>0</v>
      </c>
      <c r="V468" s="140">
        <v>0</v>
      </c>
      <c r="W468" s="140">
        <v>0</v>
      </c>
      <c r="X468" s="140">
        <v>0</v>
      </c>
      <c r="Y468" s="140">
        <v>0</v>
      </c>
      <c r="Z468" s="140">
        <v>0</v>
      </c>
      <c r="AB468" s="139">
        <f t="shared" si="29"/>
        <v>0</v>
      </c>
    </row>
    <row r="469" spans="1:28" x14ac:dyDescent="0.2">
      <c r="A469" s="127" t="str">
        <f>'Scenario List'!$A$12</f>
        <v>10- High Economic Growth Loads</v>
      </c>
      <c r="B469" s="128" t="s">
        <v>14</v>
      </c>
      <c r="D469" s="140">
        <v>0</v>
      </c>
      <c r="E469" s="140">
        <v>0</v>
      </c>
      <c r="F469" s="140">
        <v>0</v>
      </c>
      <c r="G469" s="140">
        <v>0</v>
      </c>
      <c r="H469" s="140">
        <v>0</v>
      </c>
      <c r="I469" s="140">
        <v>0</v>
      </c>
      <c r="J469" s="140">
        <v>0</v>
      </c>
      <c r="K469" s="140">
        <v>0</v>
      </c>
      <c r="L469" s="140">
        <v>0</v>
      </c>
      <c r="M469" s="140">
        <v>0</v>
      </c>
      <c r="N469" s="140">
        <v>0</v>
      </c>
      <c r="O469" s="140">
        <v>0</v>
      </c>
      <c r="P469" s="140">
        <v>0</v>
      </c>
      <c r="Q469" s="140">
        <v>0</v>
      </c>
      <c r="R469" s="140">
        <v>0</v>
      </c>
      <c r="S469" s="140">
        <v>0</v>
      </c>
      <c r="T469" s="140">
        <v>0</v>
      </c>
      <c r="U469" s="140">
        <v>0</v>
      </c>
      <c r="V469" s="140">
        <v>0</v>
      </c>
      <c r="W469" s="140">
        <v>0</v>
      </c>
      <c r="X469" s="140">
        <v>0</v>
      </c>
      <c r="Y469" s="140">
        <v>0</v>
      </c>
      <c r="Z469" s="140">
        <v>0</v>
      </c>
      <c r="AB469" s="139">
        <f t="shared" si="29"/>
        <v>0</v>
      </c>
    </row>
    <row r="470" spans="1:28" x14ac:dyDescent="0.2">
      <c r="A470" s="127" t="str">
        <f>'Scenario List'!$A$12</f>
        <v>10- High Economic Growth Loads</v>
      </c>
      <c r="B470" s="128" t="s">
        <v>15</v>
      </c>
      <c r="D470" s="140">
        <v>0</v>
      </c>
      <c r="E470" s="140">
        <v>0</v>
      </c>
      <c r="F470" s="140">
        <v>0</v>
      </c>
      <c r="G470" s="140">
        <v>0</v>
      </c>
      <c r="H470" s="140">
        <v>0</v>
      </c>
      <c r="I470" s="140">
        <v>0</v>
      </c>
      <c r="J470" s="140">
        <v>0</v>
      </c>
      <c r="K470" s="140">
        <v>0</v>
      </c>
      <c r="L470" s="140">
        <v>0</v>
      </c>
      <c r="M470" s="140">
        <v>0</v>
      </c>
      <c r="N470" s="140">
        <v>0</v>
      </c>
      <c r="O470" s="140">
        <v>0</v>
      </c>
      <c r="P470" s="140">
        <v>0</v>
      </c>
      <c r="Q470" s="140">
        <v>0</v>
      </c>
      <c r="R470" s="140">
        <v>0</v>
      </c>
      <c r="S470" s="140">
        <v>0</v>
      </c>
      <c r="T470" s="140">
        <v>0</v>
      </c>
      <c r="U470" s="140">
        <v>0</v>
      </c>
      <c r="V470" s="140">
        <v>0</v>
      </c>
      <c r="W470" s="140">
        <v>0</v>
      </c>
      <c r="X470" s="140">
        <v>0</v>
      </c>
      <c r="Y470" s="140">
        <v>0</v>
      </c>
      <c r="Z470" s="140">
        <v>0</v>
      </c>
      <c r="AB470" s="139">
        <f t="shared" si="29"/>
        <v>0</v>
      </c>
    </row>
    <row r="471" spans="1:28" x14ac:dyDescent="0.2">
      <c r="A471" s="127" t="str">
        <f>'Scenario List'!$A$12</f>
        <v>10- High Economic Growth Loads</v>
      </c>
      <c r="B471" s="128" t="s">
        <v>16</v>
      </c>
      <c r="D471" s="140">
        <v>0</v>
      </c>
      <c r="E471" s="140">
        <v>0</v>
      </c>
      <c r="F471" s="140">
        <v>0</v>
      </c>
      <c r="G471" s="140">
        <v>0</v>
      </c>
      <c r="H471" s="140">
        <v>0</v>
      </c>
      <c r="I471" s="140">
        <v>0</v>
      </c>
      <c r="J471" s="140">
        <v>0</v>
      </c>
      <c r="K471" s="140">
        <v>0</v>
      </c>
      <c r="L471" s="140">
        <v>0</v>
      </c>
      <c r="M471" s="140">
        <v>0.53276062375984123</v>
      </c>
      <c r="N471" s="140">
        <v>0</v>
      </c>
      <c r="O471" s="140">
        <v>0</v>
      </c>
      <c r="P471" s="140">
        <v>0</v>
      </c>
      <c r="Q471" s="140">
        <v>0</v>
      </c>
      <c r="R471" s="140">
        <v>0</v>
      </c>
      <c r="S471" s="140">
        <v>0</v>
      </c>
      <c r="T471" s="140">
        <v>0</v>
      </c>
      <c r="U471" s="140">
        <v>0</v>
      </c>
      <c r="V471" s="140">
        <v>0</v>
      </c>
      <c r="W471" s="140">
        <v>0</v>
      </c>
      <c r="X471" s="140">
        <v>0</v>
      </c>
      <c r="Y471" s="140">
        <v>0</v>
      </c>
      <c r="Z471" s="140">
        <v>25</v>
      </c>
      <c r="AB471" s="139">
        <f t="shared" si="29"/>
        <v>25.532760623759842</v>
      </c>
    </row>
    <row r="472" spans="1:28" x14ac:dyDescent="0.2">
      <c r="A472" s="127" t="str">
        <f>'Scenario List'!$A$12</f>
        <v>10- High Economic Growth Loads</v>
      </c>
      <c r="B472" s="128" t="s">
        <v>85</v>
      </c>
      <c r="D472" s="140">
        <v>0</v>
      </c>
      <c r="E472" s="140">
        <v>0</v>
      </c>
      <c r="F472" s="140">
        <v>0</v>
      </c>
      <c r="G472" s="140">
        <v>0</v>
      </c>
      <c r="H472" s="140">
        <v>0</v>
      </c>
      <c r="I472" s="140">
        <v>0</v>
      </c>
      <c r="J472" s="140">
        <v>0</v>
      </c>
      <c r="K472" s="140">
        <v>0</v>
      </c>
      <c r="L472" s="140">
        <v>0</v>
      </c>
      <c r="M472" s="140">
        <v>0</v>
      </c>
      <c r="N472" s="140">
        <v>0</v>
      </c>
      <c r="O472" s="140">
        <v>0</v>
      </c>
      <c r="P472" s="140">
        <v>0</v>
      </c>
      <c r="Q472" s="140">
        <v>0</v>
      </c>
      <c r="R472" s="140">
        <v>0</v>
      </c>
      <c r="S472" s="140">
        <v>0</v>
      </c>
      <c r="T472" s="140">
        <v>0</v>
      </c>
      <c r="U472" s="140">
        <v>0</v>
      </c>
      <c r="V472" s="140">
        <v>0</v>
      </c>
      <c r="W472" s="140">
        <v>0</v>
      </c>
      <c r="X472" s="140">
        <v>0</v>
      </c>
      <c r="Y472" s="140">
        <v>0</v>
      </c>
      <c r="Z472" s="140">
        <v>0</v>
      </c>
      <c r="AB472" s="139">
        <f t="shared" si="29"/>
        <v>0</v>
      </c>
    </row>
    <row r="473" spans="1:28" x14ac:dyDescent="0.2">
      <c r="A473" s="127" t="str">
        <f>'Scenario List'!$A$12</f>
        <v>10- High Economic Growth Loads</v>
      </c>
      <c r="B473" s="128" t="s">
        <v>86</v>
      </c>
      <c r="D473" s="140">
        <v>0</v>
      </c>
      <c r="E473" s="140">
        <v>0</v>
      </c>
      <c r="F473" s="140">
        <v>0</v>
      </c>
      <c r="G473" s="140">
        <v>0</v>
      </c>
      <c r="H473" s="140">
        <v>0</v>
      </c>
      <c r="I473" s="140">
        <v>0</v>
      </c>
      <c r="J473" s="140">
        <v>0</v>
      </c>
      <c r="K473" s="140">
        <v>0</v>
      </c>
      <c r="L473" s="140">
        <v>0</v>
      </c>
      <c r="M473" s="140">
        <v>0</v>
      </c>
      <c r="N473" s="140">
        <v>0</v>
      </c>
      <c r="O473" s="140">
        <v>0</v>
      </c>
      <c r="P473" s="140">
        <v>0</v>
      </c>
      <c r="Q473" s="140">
        <v>0</v>
      </c>
      <c r="R473" s="140">
        <v>0</v>
      </c>
      <c r="S473" s="140">
        <v>0</v>
      </c>
      <c r="T473" s="140">
        <v>0</v>
      </c>
      <c r="U473" s="140">
        <v>0</v>
      </c>
      <c r="V473" s="140">
        <v>0</v>
      </c>
      <c r="W473" s="140">
        <v>0</v>
      </c>
      <c r="X473" s="140">
        <v>0</v>
      </c>
      <c r="Y473" s="140">
        <v>0</v>
      </c>
      <c r="Z473" s="140">
        <v>0</v>
      </c>
      <c r="AB473" s="139">
        <f t="shared" si="29"/>
        <v>0</v>
      </c>
    </row>
    <row r="474" spans="1:28" x14ac:dyDescent="0.2">
      <c r="A474" s="127" t="str">
        <f>'Scenario List'!$A$12</f>
        <v>10- High Economic Growth Loads</v>
      </c>
      <c r="B474" s="128" t="s">
        <v>87</v>
      </c>
      <c r="D474" s="140">
        <v>0</v>
      </c>
      <c r="E474" s="140">
        <v>0</v>
      </c>
      <c r="F474" s="140">
        <v>0</v>
      </c>
      <c r="G474" s="140">
        <v>0</v>
      </c>
      <c r="H474" s="140">
        <v>0</v>
      </c>
      <c r="I474" s="140">
        <v>0</v>
      </c>
      <c r="J474" s="140">
        <v>0</v>
      </c>
      <c r="K474" s="140">
        <v>0</v>
      </c>
      <c r="L474" s="140">
        <v>0</v>
      </c>
      <c r="M474" s="140">
        <v>0</v>
      </c>
      <c r="N474" s="140">
        <v>0</v>
      </c>
      <c r="O474" s="140">
        <v>0</v>
      </c>
      <c r="P474" s="140">
        <v>0</v>
      </c>
      <c r="Q474" s="140">
        <v>0</v>
      </c>
      <c r="R474" s="140">
        <v>0</v>
      </c>
      <c r="S474" s="140">
        <v>0</v>
      </c>
      <c r="T474" s="140">
        <v>0</v>
      </c>
      <c r="U474" s="140">
        <v>0</v>
      </c>
      <c r="V474" s="140">
        <v>0</v>
      </c>
      <c r="W474" s="140">
        <v>0</v>
      </c>
      <c r="X474" s="140">
        <v>0</v>
      </c>
      <c r="Y474" s="140">
        <v>0</v>
      </c>
      <c r="Z474" s="140">
        <v>0</v>
      </c>
      <c r="AB474" s="139">
        <f t="shared" si="29"/>
        <v>0</v>
      </c>
    </row>
    <row r="475" spans="1:28" x14ac:dyDescent="0.2">
      <c r="A475" s="127" t="str">
        <f>'Scenario List'!$A$12</f>
        <v>10- High Economic Growth Loads</v>
      </c>
      <c r="B475" s="128" t="s">
        <v>17</v>
      </c>
      <c r="D475" s="140">
        <v>0</v>
      </c>
      <c r="E475" s="140">
        <v>0</v>
      </c>
      <c r="F475" s="140">
        <v>0</v>
      </c>
      <c r="G475" s="140">
        <v>0</v>
      </c>
      <c r="H475" s="140">
        <v>0</v>
      </c>
      <c r="I475" s="140">
        <v>0</v>
      </c>
      <c r="J475" s="140">
        <v>7.2135869038657949</v>
      </c>
      <c r="K475" s="140">
        <v>0</v>
      </c>
      <c r="L475" s="140">
        <v>0</v>
      </c>
      <c r="M475" s="140">
        <v>0</v>
      </c>
      <c r="N475" s="140">
        <v>0</v>
      </c>
      <c r="O475" s="140">
        <v>0</v>
      </c>
      <c r="P475" s="140">
        <v>0</v>
      </c>
      <c r="Q475" s="140">
        <v>0</v>
      </c>
      <c r="R475" s="140">
        <v>0</v>
      </c>
      <c r="S475" s="140">
        <v>0</v>
      </c>
      <c r="T475" s="140">
        <v>0</v>
      </c>
      <c r="U475" s="140">
        <v>0</v>
      </c>
      <c r="V475" s="140">
        <v>0</v>
      </c>
      <c r="W475" s="140">
        <v>0</v>
      </c>
      <c r="X475" s="140">
        <v>0</v>
      </c>
      <c r="Y475" s="140">
        <v>0</v>
      </c>
      <c r="Z475" s="140">
        <v>0</v>
      </c>
      <c r="AB475" s="139">
        <f t="shared" si="29"/>
        <v>7.2135869038657949</v>
      </c>
    </row>
    <row r="476" spans="1:28" x14ac:dyDescent="0.2">
      <c r="A476" s="127" t="str">
        <f>'Scenario List'!$A$12</f>
        <v>10- High Economic Growth Loads</v>
      </c>
      <c r="B476" s="128" t="s">
        <v>18</v>
      </c>
      <c r="D476" s="140">
        <v>0.66437725400667191</v>
      </c>
      <c r="E476" s="140">
        <v>0.816499810612757</v>
      </c>
      <c r="F476" s="140">
        <v>0.94202104937270636</v>
      </c>
      <c r="G476" s="140">
        <v>1.095721003781517</v>
      </c>
      <c r="H476" s="140">
        <v>1.1782755847767064</v>
      </c>
      <c r="I476" s="140">
        <v>1.246565218770848</v>
      </c>
      <c r="J476" s="140">
        <v>1.2385751546440043</v>
      </c>
      <c r="K476" s="140">
        <v>1.2166124635043376</v>
      </c>
      <c r="L476" s="140">
        <v>1.3284920882556861</v>
      </c>
      <c r="M476" s="140">
        <v>1.3859042306184577</v>
      </c>
      <c r="N476" s="140">
        <v>1.3094680135099495</v>
      </c>
      <c r="O476" s="140">
        <v>1.3384483637380864</v>
      </c>
      <c r="P476" s="140">
        <v>1.3025729903840926</v>
      </c>
      <c r="Q476" s="140">
        <v>1.3131186548493332</v>
      </c>
      <c r="R476" s="140">
        <v>1.1756854209753165</v>
      </c>
      <c r="S476" s="140">
        <v>1.0394567848054344</v>
      </c>
      <c r="T476" s="140">
        <v>0.99916879372752732</v>
      </c>
      <c r="U476" s="140">
        <v>1.0048033599403929</v>
      </c>
      <c r="V476" s="140">
        <v>0.8650249969130428</v>
      </c>
      <c r="W476" s="140">
        <v>0.91371928109441214</v>
      </c>
      <c r="X476" s="140">
        <v>0.50528776705256107</v>
      </c>
      <c r="Y476" s="140">
        <v>0.5667462536461656</v>
      </c>
      <c r="Z476" s="140">
        <v>0.34474468614308762</v>
      </c>
      <c r="AB476" s="139">
        <f>SUM(C476:Z476)</f>
        <v>23.791289225123094</v>
      </c>
    </row>
    <row r="477" spans="1:28" x14ac:dyDescent="0.2">
      <c r="A477" s="127" t="str">
        <f>'Scenario List'!$A$12</f>
        <v>10- High Economic Growth Loads</v>
      </c>
      <c r="B477" s="128" t="s">
        <v>19</v>
      </c>
      <c r="D477" s="140">
        <v>0.61444813589337799</v>
      </c>
      <c r="E477" s="140">
        <v>0.77308007210008678</v>
      </c>
      <c r="F477" s="140">
        <v>0.91115742167673641</v>
      </c>
      <c r="G477" s="140">
        <v>1.087984377211618</v>
      </c>
      <c r="H477" s="140">
        <v>1.1921191886991807</v>
      </c>
      <c r="I477" s="140">
        <v>1.2832784084577309</v>
      </c>
      <c r="J477" s="140">
        <v>1.2953591875974135</v>
      </c>
      <c r="K477" s="140">
        <v>1.2910764374226513</v>
      </c>
      <c r="L477" s="140">
        <v>1.4133621848756306</v>
      </c>
      <c r="M477" s="140">
        <v>1.490041276032823</v>
      </c>
      <c r="N477" s="140">
        <v>1.4244211011691075</v>
      </c>
      <c r="O477" s="140">
        <v>1.4531559474064579</v>
      </c>
      <c r="P477" s="140">
        <v>1.4016532971350824</v>
      </c>
      <c r="Q477" s="140">
        <v>1.3920148992098316</v>
      </c>
      <c r="R477" s="140">
        <v>1.2234942711483718</v>
      </c>
      <c r="S477" s="140">
        <v>1.0636840359843305</v>
      </c>
      <c r="T477" s="140">
        <v>1.0211813360425239</v>
      </c>
      <c r="U477" s="140">
        <v>0.99617186983970996</v>
      </c>
      <c r="V477" s="140">
        <v>0.82973558988398821</v>
      </c>
      <c r="W477" s="140">
        <v>0.86519984183563992</v>
      </c>
      <c r="X477" s="140">
        <v>0.49387057597452966</v>
      </c>
      <c r="Y477" s="140">
        <v>0.55910472881689088</v>
      </c>
      <c r="Z477" s="140">
        <v>0.33743243237116261</v>
      </c>
      <c r="AB477" s="139">
        <f t="shared" si="29"/>
        <v>24.413026616784876</v>
      </c>
    </row>
    <row r="478" spans="1:28" x14ac:dyDescent="0.2">
      <c r="A478" s="127" t="str">
        <f>'Scenario List'!$A$12</f>
        <v>10- High Economic Growth Loads</v>
      </c>
      <c r="B478" s="128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B478" s="139"/>
    </row>
    <row r="479" spans="1:28" x14ac:dyDescent="0.2">
      <c r="A479" s="127" t="str">
        <f>'Scenario List'!$A$12</f>
        <v>10- High Economic Growth Loads</v>
      </c>
      <c r="B479" s="131" t="s">
        <v>31</v>
      </c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  <c r="AB479" s="139"/>
    </row>
    <row r="480" spans="1:28" x14ac:dyDescent="0.2">
      <c r="A480" s="127" t="str">
        <f>'Scenario List'!$A$12</f>
        <v>10- High Economic Growth Loads</v>
      </c>
      <c r="B480" s="128" t="s">
        <v>1</v>
      </c>
      <c r="D480" s="140">
        <v>20.170204069932211</v>
      </c>
      <c r="E480" s="140">
        <v>43.928607992044284</v>
      </c>
      <c r="F480" s="140">
        <v>71.069419755647786</v>
      </c>
      <c r="G480" s="140">
        <v>100.28867042079591</v>
      </c>
      <c r="H480" s="140">
        <v>132.13197274589206</v>
      </c>
      <c r="I480" s="140">
        <v>166.7324624594273</v>
      </c>
      <c r="J480" s="140">
        <v>202.9188184541274</v>
      </c>
      <c r="K480" s="140">
        <v>238.02049370293011</v>
      </c>
      <c r="L480" s="140">
        <v>273.25002310185334</v>
      </c>
      <c r="M480" s="140">
        <v>306.85625807746982</v>
      </c>
      <c r="N480" s="140">
        <v>337.04004648332619</v>
      </c>
      <c r="O480" s="140">
        <v>364.01180677088104</v>
      </c>
      <c r="P480" s="140">
        <v>388.00558203526538</v>
      </c>
      <c r="Q480" s="140">
        <v>409.39785599805265</v>
      </c>
      <c r="R480" s="140">
        <v>428.63466121007406</v>
      </c>
      <c r="S480" s="140">
        <v>443.94916552115149</v>
      </c>
      <c r="T480" s="140">
        <v>457.92332707837244</v>
      </c>
      <c r="U480" s="140">
        <v>470.36793658712133</v>
      </c>
      <c r="V480" s="140">
        <v>482.19134797348573</v>
      </c>
      <c r="W480" s="140">
        <v>493.38706599773053</v>
      </c>
      <c r="X480" s="140">
        <v>499.70191789931732</v>
      </c>
      <c r="Y480" s="140">
        <v>505.88314678906789</v>
      </c>
      <c r="Z480" s="140">
        <v>510.58802575679556</v>
      </c>
      <c r="AB480" s="139">
        <f>Z480/8.76</f>
        <v>58.28630431013648</v>
      </c>
    </row>
    <row r="481" spans="1:28" x14ac:dyDescent="0.2">
      <c r="A481" s="127" t="str">
        <f>'Scenario List'!$A$12</f>
        <v>10- High Economic Growth Loads</v>
      </c>
      <c r="B481" s="128" t="s">
        <v>2</v>
      </c>
      <c r="D481" s="140">
        <v>7.8906801050101993</v>
      </c>
      <c r="E481" s="140">
        <v>17.090480688035459</v>
      </c>
      <c r="F481" s="140">
        <v>27.563056209228506</v>
      </c>
      <c r="G481" s="140">
        <v>38.742833815479479</v>
      </c>
      <c r="H481" s="140">
        <v>50.850846103178561</v>
      </c>
      <c r="I481" s="140">
        <v>63.756400712707183</v>
      </c>
      <c r="J481" s="140">
        <v>77.064954846155914</v>
      </c>
      <c r="K481" s="140">
        <v>89.95424825487018</v>
      </c>
      <c r="L481" s="140">
        <v>103.00318333789892</v>
      </c>
      <c r="M481" s="140">
        <v>115.68509494502122</v>
      </c>
      <c r="N481" s="140">
        <v>126.56357514446582</v>
      </c>
      <c r="O481" s="140">
        <v>136.58099971321056</v>
      </c>
      <c r="P481" s="140">
        <v>145.81973346769516</v>
      </c>
      <c r="Q481" s="140">
        <v>154.39932943645599</v>
      </c>
      <c r="R481" s="140">
        <v>162.36713936574498</v>
      </c>
      <c r="S481" s="140">
        <v>168.82820208205672</v>
      </c>
      <c r="T481" s="140">
        <v>174.83018657640602</v>
      </c>
      <c r="U481" s="140">
        <v>180.2369813330813</v>
      </c>
      <c r="V481" s="140">
        <v>185.3288241902757</v>
      </c>
      <c r="W481" s="140">
        <v>190.19578235937129</v>
      </c>
      <c r="X481" s="140">
        <v>192.60035352869377</v>
      </c>
      <c r="Y481" s="140">
        <v>194.94663470267355</v>
      </c>
      <c r="Z481" s="140">
        <v>196.87102549600829</v>
      </c>
      <c r="AB481" s="139">
        <f>Z481/8.76</f>
        <v>22.473861357991815</v>
      </c>
    </row>
    <row r="482" spans="1:28" x14ac:dyDescent="0.2">
      <c r="A482" s="127" t="str">
        <f>'Scenario List'!$A$12</f>
        <v>10- High Economic Growth Loads</v>
      </c>
      <c r="B482" s="128" t="s">
        <v>4</v>
      </c>
      <c r="D482" s="140">
        <v>28.060884174942409</v>
      </c>
      <c r="E482" s="140">
        <v>61.019088680079747</v>
      </c>
      <c r="F482" s="140">
        <v>98.632475964876292</v>
      </c>
      <c r="G482" s="140">
        <v>139.0315042362754</v>
      </c>
      <c r="H482" s="140">
        <v>182.98281884907061</v>
      </c>
      <c r="I482" s="140">
        <v>230.48886317213447</v>
      </c>
      <c r="J482" s="140">
        <v>279.9837733002833</v>
      </c>
      <c r="K482" s="140">
        <v>327.97474195780029</v>
      </c>
      <c r="L482" s="140">
        <v>376.25320643975226</v>
      </c>
      <c r="M482" s="140">
        <v>422.54135302249102</v>
      </c>
      <c r="N482" s="140">
        <v>463.60362162779199</v>
      </c>
      <c r="O482" s="140">
        <v>500.59280648409162</v>
      </c>
      <c r="P482" s="140">
        <v>533.82531550296051</v>
      </c>
      <c r="Q482" s="140">
        <v>563.79718543450861</v>
      </c>
      <c r="R482" s="140">
        <v>591.00180057581906</v>
      </c>
      <c r="S482" s="140">
        <v>612.77736760320818</v>
      </c>
      <c r="T482" s="140">
        <v>632.75351365477843</v>
      </c>
      <c r="U482" s="140">
        <v>650.60491792020264</v>
      </c>
      <c r="V482" s="140">
        <v>667.52017216376146</v>
      </c>
      <c r="W482" s="140">
        <v>683.58284835710185</v>
      </c>
      <c r="X482" s="140">
        <v>692.30227142801107</v>
      </c>
      <c r="Y482" s="140">
        <v>700.82978149174141</v>
      </c>
      <c r="Z482" s="140">
        <v>707.45905125280387</v>
      </c>
      <c r="AB482" s="139">
        <f>Z482/8.76</f>
        <v>80.760165668128295</v>
      </c>
    </row>
    <row r="483" spans="1:28" x14ac:dyDescent="0.2">
      <c r="A483" s="127" t="str">
        <f>'Scenario List'!$A$12</f>
        <v>10- High Economic Growth Loads</v>
      </c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  <c r="AB483" s="139"/>
    </row>
    <row r="484" spans="1:28" x14ac:dyDescent="0.2">
      <c r="A484" s="127" t="str">
        <f>'Scenario List'!$A$12</f>
        <v>10- High Economic Growth Loads</v>
      </c>
      <c r="B484" s="141" t="s">
        <v>32</v>
      </c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  <c r="AB484" s="139"/>
    </row>
    <row r="485" spans="1:28" x14ac:dyDescent="0.2">
      <c r="A485" s="127" t="str">
        <f>'Scenario List'!$A$12</f>
        <v>10- High Economic Growth Loads</v>
      </c>
      <c r="B485" s="128" t="s">
        <v>1</v>
      </c>
      <c r="D485" s="140">
        <v>2.4275297773460589</v>
      </c>
      <c r="E485" s="140">
        <v>5.2888259018630963</v>
      </c>
      <c r="F485" s="140">
        <v>8.5544171089933378</v>
      </c>
      <c r="G485" s="140">
        <v>12.072528358105743</v>
      </c>
      <c r="H485" s="140">
        <v>15.906952088398148</v>
      </c>
      <c r="I485" s="140">
        <v>20.080129954124587</v>
      </c>
      <c r="J485" s="140">
        <v>24.432223628059511</v>
      </c>
      <c r="K485" s="140">
        <v>28.660619016298586</v>
      </c>
      <c r="L485" s="140">
        <v>32.905495835084416</v>
      </c>
      <c r="M485" s="140">
        <v>36.967698810725544</v>
      </c>
      <c r="N485" s="140">
        <v>40.594422118488815</v>
      </c>
      <c r="O485" s="140">
        <v>43.84700397763465</v>
      </c>
      <c r="P485" s="140">
        <v>46.741524036645465</v>
      </c>
      <c r="Q485" s="140">
        <v>49.339873873243803</v>
      </c>
      <c r="R485" s="140">
        <v>51.645912081925069</v>
      </c>
      <c r="S485" s="140">
        <v>53.496505308053564</v>
      </c>
      <c r="T485" s="140">
        <v>55.18608777935021</v>
      </c>
      <c r="U485" s="140">
        <v>56.711684942486812</v>
      </c>
      <c r="V485" s="140">
        <v>58.123267935939268</v>
      </c>
      <c r="W485" s="140">
        <v>59.479556545794807</v>
      </c>
      <c r="X485" s="140">
        <v>60.247932990962902</v>
      </c>
      <c r="Y485" s="140">
        <v>61.022980238481189</v>
      </c>
      <c r="Z485" s="140">
        <v>61.57592042072087</v>
      </c>
      <c r="AB485" s="139">
        <f>Z485</f>
        <v>61.57592042072087</v>
      </c>
    </row>
    <row r="486" spans="1:28" x14ac:dyDescent="0.2">
      <c r="A486" s="127" t="str">
        <f>'Scenario List'!$A$12</f>
        <v>10- High Economic Growth Loads</v>
      </c>
      <c r="B486" s="128" t="s">
        <v>2</v>
      </c>
      <c r="D486" s="140">
        <v>0.94966123555381388</v>
      </c>
      <c r="E486" s="140">
        <v>2.0576244290404753</v>
      </c>
      <c r="F486" s="140">
        <v>3.3176840393949023</v>
      </c>
      <c r="G486" s="140">
        <v>4.6637766554113833</v>
      </c>
      <c r="H486" s="140">
        <v>6.1217732226957695</v>
      </c>
      <c r="I486" s="140">
        <v>7.678389635911091</v>
      </c>
      <c r="J486" s="140">
        <v>9.2789235864451793</v>
      </c>
      <c r="K486" s="140">
        <v>10.831606968045872</v>
      </c>
      <c r="L486" s="140">
        <v>12.403917781416945</v>
      </c>
      <c r="M486" s="140">
        <v>13.936856864552023</v>
      </c>
      <c r="N486" s="140">
        <v>15.243812264587072</v>
      </c>
      <c r="O486" s="140">
        <v>16.451849984810771</v>
      </c>
      <c r="P486" s="140">
        <v>17.566336394299672</v>
      </c>
      <c r="Q486" s="140">
        <v>18.607922168855698</v>
      </c>
      <c r="R486" s="140">
        <v>19.563511221896153</v>
      </c>
      <c r="S486" s="140">
        <v>20.344038259942579</v>
      </c>
      <c r="T486" s="140">
        <v>21.069453011801805</v>
      </c>
      <c r="U486" s="140">
        <v>21.730951676918469</v>
      </c>
      <c r="V486" s="140">
        <v>22.33950681598769</v>
      </c>
      <c r="W486" s="140">
        <v>22.928774528653623</v>
      </c>
      <c r="X486" s="140">
        <v>23.221390148377417</v>
      </c>
      <c r="Y486" s="140">
        <v>23.51575598540326</v>
      </c>
      <c r="Z486" s="140">
        <v>23.74226183843594</v>
      </c>
      <c r="AB486" s="139">
        <f>Z486</f>
        <v>23.74226183843594</v>
      </c>
    </row>
    <row r="487" spans="1:28" x14ac:dyDescent="0.2">
      <c r="A487" s="127" t="str">
        <f>'Scenario List'!$A$12</f>
        <v>10- High Economic Growth Loads</v>
      </c>
      <c r="B487" s="128" t="s">
        <v>4</v>
      </c>
      <c r="D487" s="140">
        <v>3.377191012899873</v>
      </c>
      <c r="E487" s="140">
        <v>7.346450330903572</v>
      </c>
      <c r="F487" s="140">
        <v>11.872101148388239</v>
      </c>
      <c r="G487" s="140">
        <v>16.736305013517125</v>
      </c>
      <c r="H487" s="140">
        <v>22.028725311093918</v>
      </c>
      <c r="I487" s="140">
        <v>27.758519590035679</v>
      </c>
      <c r="J487" s="140">
        <v>33.711147214504692</v>
      </c>
      <c r="K487" s="140">
        <v>39.492225984344458</v>
      </c>
      <c r="L487" s="140">
        <v>45.309413616501359</v>
      </c>
      <c r="M487" s="140">
        <v>50.904555675277564</v>
      </c>
      <c r="N487" s="140">
        <v>55.838234383075886</v>
      </c>
      <c r="O487" s="140">
        <v>60.298853962445421</v>
      </c>
      <c r="P487" s="140">
        <v>64.307860430945141</v>
      </c>
      <c r="Q487" s="140">
        <v>67.947796042099498</v>
      </c>
      <c r="R487" s="140">
        <v>71.209423303821225</v>
      </c>
      <c r="S487" s="140">
        <v>73.84054356799615</v>
      </c>
      <c r="T487" s="140">
        <v>76.255540791152015</v>
      </c>
      <c r="U487" s="140">
        <v>78.442636619405278</v>
      </c>
      <c r="V487" s="140">
        <v>80.462774751926958</v>
      </c>
      <c r="W487" s="140">
        <v>82.408331074448427</v>
      </c>
      <c r="X487" s="140">
        <v>83.469323139340318</v>
      </c>
      <c r="Y487" s="140">
        <v>84.538736223884456</v>
      </c>
      <c r="Z487" s="140">
        <v>85.318182259156814</v>
      </c>
      <c r="AB487" s="139">
        <f>Z487</f>
        <v>85.318182259156814</v>
      </c>
    </row>
    <row r="490" spans="1:28" x14ac:dyDescent="0.2">
      <c r="A490" s="127" t="str">
        <f>'Scenario List'!$A$13</f>
        <v>11- High Electric Vehicle Growth</v>
      </c>
      <c r="B490" s="131" t="s">
        <v>11</v>
      </c>
    </row>
    <row r="491" spans="1:28" x14ac:dyDescent="0.2">
      <c r="A491" s="127" t="str">
        <f>'Scenario List'!$A$13</f>
        <v>11- High Electric Vehicle Growth</v>
      </c>
      <c r="B491" s="128" t="s">
        <v>12</v>
      </c>
      <c r="D491" s="140">
        <v>0</v>
      </c>
      <c r="E491" s="140">
        <v>0</v>
      </c>
      <c r="F491" s="140">
        <v>0</v>
      </c>
      <c r="G491" s="140">
        <v>0</v>
      </c>
      <c r="H491" s="140">
        <v>0</v>
      </c>
      <c r="I491" s="140">
        <v>0</v>
      </c>
      <c r="J491" s="140">
        <v>0</v>
      </c>
      <c r="K491" s="140">
        <v>0</v>
      </c>
      <c r="L491" s="140">
        <v>0</v>
      </c>
      <c r="M491" s="140">
        <v>0</v>
      </c>
      <c r="N491" s="140">
        <v>0</v>
      </c>
      <c r="O491" s="140">
        <v>0</v>
      </c>
      <c r="P491" s="140">
        <v>0</v>
      </c>
      <c r="Q491" s="140">
        <v>0</v>
      </c>
      <c r="R491" s="140">
        <v>0</v>
      </c>
      <c r="S491" s="140">
        <v>0</v>
      </c>
      <c r="T491" s="140">
        <v>0</v>
      </c>
      <c r="U491" s="140">
        <v>0</v>
      </c>
      <c r="V491" s="140">
        <v>0</v>
      </c>
      <c r="W491" s="140">
        <v>0</v>
      </c>
      <c r="X491" s="140">
        <v>0</v>
      </c>
      <c r="Y491" s="140">
        <v>0</v>
      </c>
      <c r="Z491" s="140">
        <v>0</v>
      </c>
      <c r="AB491" s="139">
        <f>SUM(C491:Z491)</f>
        <v>0</v>
      </c>
    </row>
    <row r="492" spans="1:28" x14ac:dyDescent="0.2">
      <c r="A492" s="127" t="str">
        <f>'Scenario List'!$A$13</f>
        <v>11- High Electric Vehicle Growth</v>
      </c>
      <c r="B492" s="128" t="s">
        <v>13</v>
      </c>
      <c r="D492" s="140">
        <v>0</v>
      </c>
      <c r="E492" s="140">
        <v>0</v>
      </c>
      <c r="F492" s="140">
        <v>0</v>
      </c>
      <c r="G492" s="140">
        <v>0</v>
      </c>
      <c r="H492" s="140">
        <v>0</v>
      </c>
      <c r="I492" s="140">
        <v>0</v>
      </c>
      <c r="J492" s="140">
        <v>0</v>
      </c>
      <c r="K492" s="140">
        <v>0</v>
      </c>
      <c r="L492" s="140">
        <v>0</v>
      </c>
      <c r="M492" s="140">
        <v>0</v>
      </c>
      <c r="N492" s="140">
        <v>0</v>
      </c>
      <c r="O492" s="140">
        <v>0</v>
      </c>
      <c r="P492" s="140">
        <v>0</v>
      </c>
      <c r="Q492" s="140">
        <v>0</v>
      </c>
      <c r="R492" s="140">
        <v>0</v>
      </c>
      <c r="S492" s="140">
        <v>0</v>
      </c>
      <c r="T492" s="140">
        <v>0</v>
      </c>
      <c r="U492" s="140">
        <v>0</v>
      </c>
      <c r="V492" s="140">
        <v>0</v>
      </c>
      <c r="W492" s="140">
        <v>0</v>
      </c>
      <c r="X492" s="140">
        <v>0</v>
      </c>
      <c r="Y492" s="140">
        <v>0</v>
      </c>
      <c r="Z492" s="140">
        <v>0</v>
      </c>
      <c r="AB492" s="139">
        <f t="shared" ref="AB492:AB499" si="30">SUM(C492:Z492)</f>
        <v>0</v>
      </c>
    </row>
    <row r="493" spans="1:28" x14ac:dyDescent="0.2">
      <c r="A493" s="127" t="str">
        <f>'Scenario List'!$A$13</f>
        <v>11- High Electric Vehicle Growth</v>
      </c>
      <c r="B493" s="128" t="s">
        <v>14</v>
      </c>
      <c r="D493" s="140">
        <v>0</v>
      </c>
      <c r="E493" s="140">
        <v>0</v>
      </c>
      <c r="F493" s="140">
        <v>0</v>
      </c>
      <c r="G493" s="140">
        <v>0</v>
      </c>
      <c r="H493" s="140">
        <v>0</v>
      </c>
      <c r="I493" s="140">
        <v>0</v>
      </c>
      <c r="J493" s="140">
        <v>0</v>
      </c>
      <c r="K493" s="140">
        <v>0</v>
      </c>
      <c r="L493" s="140">
        <v>0</v>
      </c>
      <c r="M493" s="140">
        <v>0</v>
      </c>
      <c r="N493" s="140">
        <v>0</v>
      </c>
      <c r="O493" s="140">
        <v>0</v>
      </c>
      <c r="P493" s="140">
        <v>0</v>
      </c>
      <c r="Q493" s="140">
        <v>0</v>
      </c>
      <c r="R493" s="140">
        <v>0</v>
      </c>
      <c r="S493" s="140">
        <v>0</v>
      </c>
      <c r="T493" s="140">
        <v>0</v>
      </c>
      <c r="U493" s="140">
        <v>0</v>
      </c>
      <c r="V493" s="140">
        <v>0</v>
      </c>
      <c r="W493" s="140">
        <v>0</v>
      </c>
      <c r="X493" s="140">
        <v>0</v>
      </c>
      <c r="Y493" s="140">
        <v>0</v>
      </c>
      <c r="Z493" s="140">
        <v>0</v>
      </c>
      <c r="AB493" s="139">
        <f t="shared" si="30"/>
        <v>0</v>
      </c>
    </row>
    <row r="494" spans="1:28" x14ac:dyDescent="0.2">
      <c r="A494" s="127" t="str">
        <f>'Scenario List'!$A$13</f>
        <v>11- High Electric Vehicle Growth</v>
      </c>
      <c r="B494" s="128" t="s">
        <v>15</v>
      </c>
      <c r="D494" s="140">
        <v>0</v>
      </c>
      <c r="E494" s="140">
        <v>0</v>
      </c>
      <c r="F494" s="140">
        <v>0</v>
      </c>
      <c r="G494" s="140">
        <v>0</v>
      </c>
      <c r="H494" s="140">
        <v>0</v>
      </c>
      <c r="I494" s="140">
        <v>0</v>
      </c>
      <c r="J494" s="140">
        <v>0</v>
      </c>
      <c r="K494" s="140">
        <v>0</v>
      </c>
      <c r="L494" s="140">
        <v>0</v>
      </c>
      <c r="M494" s="140">
        <v>0</v>
      </c>
      <c r="N494" s="140">
        <v>0</v>
      </c>
      <c r="O494" s="140">
        <v>0</v>
      </c>
      <c r="P494" s="140">
        <v>0</v>
      </c>
      <c r="Q494" s="140">
        <v>0</v>
      </c>
      <c r="R494" s="140">
        <v>0</v>
      </c>
      <c r="S494" s="140">
        <v>0</v>
      </c>
      <c r="T494" s="140">
        <v>0</v>
      </c>
      <c r="U494" s="140">
        <v>0</v>
      </c>
      <c r="V494" s="140">
        <v>0</v>
      </c>
      <c r="W494" s="140">
        <v>0</v>
      </c>
      <c r="X494" s="140">
        <v>0</v>
      </c>
      <c r="Y494" s="140">
        <v>0</v>
      </c>
      <c r="Z494" s="140">
        <v>0</v>
      </c>
      <c r="AB494" s="139">
        <f t="shared" si="30"/>
        <v>0</v>
      </c>
    </row>
    <row r="495" spans="1:28" x14ac:dyDescent="0.2">
      <c r="A495" s="127" t="str">
        <f>'Scenario List'!$A$13</f>
        <v>11- High Electric Vehicle Growth</v>
      </c>
      <c r="B495" s="128" t="s">
        <v>16</v>
      </c>
      <c r="D495" s="140">
        <v>0</v>
      </c>
      <c r="E495" s="140">
        <v>0</v>
      </c>
      <c r="F495" s="140">
        <v>0</v>
      </c>
      <c r="G495" s="140">
        <v>0</v>
      </c>
      <c r="H495" s="140">
        <v>0</v>
      </c>
      <c r="I495" s="140">
        <v>0</v>
      </c>
      <c r="J495" s="140">
        <v>0</v>
      </c>
      <c r="K495" s="140">
        <v>0</v>
      </c>
      <c r="L495" s="140">
        <v>0</v>
      </c>
      <c r="M495" s="140">
        <v>0</v>
      </c>
      <c r="N495" s="140">
        <v>0</v>
      </c>
      <c r="O495" s="140">
        <v>0</v>
      </c>
      <c r="P495" s="140">
        <v>0</v>
      </c>
      <c r="Q495" s="140">
        <v>0</v>
      </c>
      <c r="R495" s="140">
        <v>0</v>
      </c>
      <c r="S495" s="140">
        <v>0</v>
      </c>
      <c r="T495" s="140">
        <v>0</v>
      </c>
      <c r="U495" s="140">
        <v>50</v>
      </c>
      <c r="V495" s="140">
        <v>0</v>
      </c>
      <c r="W495" s="140">
        <v>0</v>
      </c>
      <c r="X495" s="140">
        <v>0</v>
      </c>
      <c r="Y495" s="140">
        <v>50</v>
      </c>
      <c r="Z495" s="140">
        <v>0</v>
      </c>
      <c r="AB495" s="139">
        <f t="shared" si="30"/>
        <v>100</v>
      </c>
    </row>
    <row r="496" spans="1:28" x14ac:dyDescent="0.2">
      <c r="A496" s="127" t="str">
        <f>'Scenario List'!$A$13</f>
        <v>11- High Electric Vehicle Growth</v>
      </c>
      <c r="B496" s="128" t="s">
        <v>85</v>
      </c>
      <c r="D496" s="140">
        <v>0</v>
      </c>
      <c r="E496" s="140">
        <v>0</v>
      </c>
      <c r="F496" s="140">
        <v>0</v>
      </c>
      <c r="G496" s="140">
        <v>0</v>
      </c>
      <c r="H496" s="140">
        <v>0</v>
      </c>
      <c r="I496" s="140">
        <v>0</v>
      </c>
      <c r="J496" s="140">
        <v>0</v>
      </c>
      <c r="K496" s="140">
        <v>0</v>
      </c>
      <c r="L496" s="140">
        <v>0</v>
      </c>
      <c r="M496" s="140">
        <v>0</v>
      </c>
      <c r="N496" s="140">
        <v>0</v>
      </c>
      <c r="O496" s="140">
        <v>0</v>
      </c>
      <c r="P496" s="140">
        <v>0</v>
      </c>
      <c r="Q496" s="140">
        <v>0</v>
      </c>
      <c r="R496" s="140">
        <v>0</v>
      </c>
      <c r="S496" s="140">
        <v>0</v>
      </c>
      <c r="T496" s="140">
        <v>0</v>
      </c>
      <c r="U496" s="140">
        <v>0</v>
      </c>
      <c r="V496" s="140">
        <v>0</v>
      </c>
      <c r="W496" s="140">
        <v>0</v>
      </c>
      <c r="X496" s="140">
        <v>0</v>
      </c>
      <c r="Y496" s="140">
        <v>0</v>
      </c>
      <c r="Z496" s="140">
        <v>0</v>
      </c>
      <c r="AB496" s="139">
        <f t="shared" si="30"/>
        <v>0</v>
      </c>
    </row>
    <row r="497" spans="1:28" x14ac:dyDescent="0.2">
      <c r="A497" s="127" t="str">
        <f>'Scenario List'!$A$13</f>
        <v>11- High Electric Vehicle Growth</v>
      </c>
      <c r="B497" s="128" t="s">
        <v>86</v>
      </c>
      <c r="D497" s="140">
        <v>0</v>
      </c>
      <c r="E497" s="140">
        <v>0</v>
      </c>
      <c r="F497" s="140">
        <v>0</v>
      </c>
      <c r="G497" s="140">
        <v>0</v>
      </c>
      <c r="H497" s="140">
        <v>0</v>
      </c>
      <c r="I497" s="140">
        <v>0</v>
      </c>
      <c r="J497" s="140">
        <v>0</v>
      </c>
      <c r="K497" s="140">
        <v>0</v>
      </c>
      <c r="L497" s="140">
        <v>0</v>
      </c>
      <c r="M497" s="140">
        <v>0</v>
      </c>
      <c r="N497" s="140">
        <v>0</v>
      </c>
      <c r="O497" s="140">
        <v>0</v>
      </c>
      <c r="P497" s="140">
        <v>0</v>
      </c>
      <c r="Q497" s="140">
        <v>0</v>
      </c>
      <c r="R497" s="140">
        <v>0</v>
      </c>
      <c r="S497" s="140">
        <v>0</v>
      </c>
      <c r="T497" s="140">
        <v>0</v>
      </c>
      <c r="U497" s="140">
        <v>0</v>
      </c>
      <c r="V497" s="140">
        <v>0</v>
      </c>
      <c r="W497" s="140">
        <v>0</v>
      </c>
      <c r="X497" s="140">
        <v>0</v>
      </c>
      <c r="Y497" s="140">
        <v>0</v>
      </c>
      <c r="Z497" s="140">
        <v>0</v>
      </c>
      <c r="AB497" s="139">
        <f t="shared" si="30"/>
        <v>0</v>
      </c>
    </row>
    <row r="498" spans="1:28" x14ac:dyDescent="0.2">
      <c r="A498" s="127" t="str">
        <f>'Scenario List'!$A$13</f>
        <v>11- High Electric Vehicle Growth</v>
      </c>
      <c r="B498" s="128" t="s">
        <v>87</v>
      </c>
      <c r="D498" s="140">
        <v>0</v>
      </c>
      <c r="E498" s="140">
        <v>0</v>
      </c>
      <c r="F498" s="140">
        <v>0</v>
      </c>
      <c r="G498" s="140">
        <v>0</v>
      </c>
      <c r="H498" s="140">
        <v>0</v>
      </c>
      <c r="I498" s="140">
        <v>0</v>
      </c>
      <c r="J498" s="140">
        <v>0</v>
      </c>
      <c r="K498" s="140">
        <v>0</v>
      </c>
      <c r="L498" s="140">
        <v>0</v>
      </c>
      <c r="M498" s="140">
        <v>0</v>
      </c>
      <c r="N498" s="140">
        <v>0</v>
      </c>
      <c r="O498" s="140">
        <v>0</v>
      </c>
      <c r="P498" s="140">
        <v>0</v>
      </c>
      <c r="Q498" s="140">
        <v>0</v>
      </c>
      <c r="R498" s="140">
        <v>0</v>
      </c>
      <c r="S498" s="140">
        <v>0</v>
      </c>
      <c r="T498" s="140">
        <v>0</v>
      </c>
      <c r="U498" s="140">
        <v>0</v>
      </c>
      <c r="V498" s="140">
        <v>0</v>
      </c>
      <c r="W498" s="140">
        <v>0</v>
      </c>
      <c r="X498" s="140">
        <v>0</v>
      </c>
      <c r="Y498" s="140">
        <v>0</v>
      </c>
      <c r="Z498" s="140">
        <v>0</v>
      </c>
      <c r="AB498" s="139">
        <f t="shared" si="30"/>
        <v>0</v>
      </c>
    </row>
    <row r="499" spans="1:28" x14ac:dyDescent="0.2">
      <c r="A499" s="127" t="str">
        <f>'Scenario List'!$A$13</f>
        <v>11- High Electric Vehicle Growth</v>
      </c>
      <c r="B499" s="128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  <c r="AB499" s="139">
        <f t="shared" si="30"/>
        <v>0</v>
      </c>
    </row>
    <row r="500" spans="1:28" x14ac:dyDescent="0.2">
      <c r="A500" s="127" t="str">
        <f>'Scenario List'!$A$13</f>
        <v>11- High Electric Vehicle Growth</v>
      </c>
      <c r="B500" s="128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  <c r="AB500" s="139"/>
    </row>
    <row r="501" spans="1:28" x14ac:dyDescent="0.2">
      <c r="A501" s="127" t="str">
        <f>'Scenario List'!$A$13</f>
        <v>11- High Electric Vehicle Growth</v>
      </c>
      <c r="B501" s="128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  <c r="AB501" s="139"/>
    </row>
    <row r="502" spans="1:28" x14ac:dyDescent="0.2">
      <c r="A502" s="127" t="str">
        <f>'Scenario List'!$A$13</f>
        <v>11- High Electric Vehicle Growth</v>
      </c>
      <c r="B502" s="131" t="s">
        <v>9</v>
      </c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  <c r="AB502" s="139"/>
    </row>
    <row r="503" spans="1:28" x14ac:dyDescent="0.2">
      <c r="A503" s="127" t="str">
        <f>'Scenario List'!$A$13</f>
        <v>11- High Electric Vehicle Growth</v>
      </c>
      <c r="B503" s="128" t="s">
        <v>12</v>
      </c>
      <c r="D503" s="140">
        <v>0</v>
      </c>
      <c r="E503" s="140">
        <v>0</v>
      </c>
      <c r="F503" s="140">
        <v>0</v>
      </c>
      <c r="G503" s="140">
        <v>0</v>
      </c>
      <c r="H503" s="140">
        <v>0</v>
      </c>
      <c r="I503" s="140">
        <v>0</v>
      </c>
      <c r="J503" s="140">
        <v>0</v>
      </c>
      <c r="K503" s="140">
        <v>0</v>
      </c>
      <c r="L503" s="140">
        <v>0</v>
      </c>
      <c r="M503" s="140">
        <v>0</v>
      </c>
      <c r="N503" s="140">
        <v>0</v>
      </c>
      <c r="O503" s="140">
        <v>0</v>
      </c>
      <c r="P503" s="140">
        <v>0</v>
      </c>
      <c r="Q503" s="140">
        <v>0</v>
      </c>
      <c r="R503" s="140">
        <v>0</v>
      </c>
      <c r="S503" s="140">
        <v>0</v>
      </c>
      <c r="T503" s="140">
        <v>0</v>
      </c>
      <c r="U503" s="140">
        <v>0</v>
      </c>
      <c r="V503" s="140">
        <v>0</v>
      </c>
      <c r="W503" s="140">
        <v>0</v>
      </c>
      <c r="X503" s="140">
        <v>0</v>
      </c>
      <c r="Y503" s="140">
        <v>0</v>
      </c>
      <c r="Z503" s="140">
        <v>0</v>
      </c>
      <c r="AB503" s="139">
        <f t="shared" ref="AB503:AB513" si="31">SUM(C503:Z503)</f>
        <v>0</v>
      </c>
    </row>
    <row r="504" spans="1:28" x14ac:dyDescent="0.2">
      <c r="A504" s="127" t="str">
        <f>'Scenario List'!$A$13</f>
        <v>11- High Electric Vehicle Growth</v>
      </c>
      <c r="B504" s="128" t="s">
        <v>13</v>
      </c>
      <c r="D504" s="140">
        <v>0</v>
      </c>
      <c r="E504" s="140">
        <v>0.66473348291362344</v>
      </c>
      <c r="F504" s="140">
        <v>0.68964227723279592</v>
      </c>
      <c r="G504" s="140">
        <v>0.71589898207405445</v>
      </c>
      <c r="H504" s="140">
        <v>0.74474658163446983</v>
      </c>
      <c r="I504" s="140">
        <v>0.77630089828909576</v>
      </c>
      <c r="J504" s="140">
        <v>0.80410589762092999</v>
      </c>
      <c r="K504" s="140">
        <v>0.83083714578533907</v>
      </c>
      <c r="L504" s="140">
        <v>0.86470310660027006</v>
      </c>
      <c r="M504" s="140">
        <v>0.89748888614452094</v>
      </c>
      <c r="N504" s="140">
        <v>0.92585303260081708</v>
      </c>
      <c r="O504" s="140">
        <v>0.14839972706765747</v>
      </c>
      <c r="P504" s="140">
        <v>0.2357715204939248</v>
      </c>
      <c r="Q504" s="140">
        <v>0.24612103031698176</v>
      </c>
      <c r="R504" s="140">
        <v>0.2631572560526157</v>
      </c>
      <c r="S504" s="140">
        <v>0.27666553911443786</v>
      </c>
      <c r="T504" s="140">
        <v>0.29107300695182858</v>
      </c>
      <c r="U504" s="140">
        <v>0.30163474949348462</v>
      </c>
      <c r="V504" s="140">
        <v>0</v>
      </c>
      <c r="W504" s="140">
        <v>0.33977217506042151</v>
      </c>
      <c r="X504" s="140">
        <v>0.35863072059904028</v>
      </c>
      <c r="Y504" s="140">
        <v>0.36701390851632804</v>
      </c>
      <c r="Z504" s="140">
        <v>85.827316029591543</v>
      </c>
      <c r="AB504" s="139">
        <f t="shared" si="31"/>
        <v>96.569865954154182</v>
      </c>
    </row>
    <row r="505" spans="1:28" x14ac:dyDescent="0.2">
      <c r="A505" s="127" t="str">
        <f>'Scenario List'!$A$13</f>
        <v>11- High Electric Vehicle Growth</v>
      </c>
      <c r="B505" s="128" t="s">
        <v>14</v>
      </c>
      <c r="D505" s="140">
        <v>0</v>
      </c>
      <c r="E505" s="140">
        <v>0</v>
      </c>
      <c r="F505" s="140">
        <v>0</v>
      </c>
      <c r="G505" s="140">
        <v>0</v>
      </c>
      <c r="H505" s="140">
        <v>0</v>
      </c>
      <c r="I505" s="140">
        <v>0</v>
      </c>
      <c r="J505" s="140">
        <v>0</v>
      </c>
      <c r="K505" s="140">
        <v>0</v>
      </c>
      <c r="L505" s="140">
        <v>0</v>
      </c>
      <c r="M505" s="140">
        <v>0</v>
      </c>
      <c r="N505" s="140">
        <v>0</v>
      </c>
      <c r="O505" s="140">
        <v>0</v>
      </c>
      <c r="P505" s="140">
        <v>0</v>
      </c>
      <c r="Q505" s="140">
        <v>0</v>
      </c>
      <c r="R505" s="140">
        <v>0</v>
      </c>
      <c r="S505" s="140">
        <v>0</v>
      </c>
      <c r="T505" s="140">
        <v>0</v>
      </c>
      <c r="U505" s="140">
        <v>0</v>
      </c>
      <c r="V505" s="140">
        <v>0</v>
      </c>
      <c r="W505" s="140">
        <v>0</v>
      </c>
      <c r="X505" s="140">
        <v>0</v>
      </c>
      <c r="Y505" s="140">
        <v>0</v>
      </c>
      <c r="Z505" s="140">
        <v>0</v>
      </c>
      <c r="AB505" s="139">
        <f t="shared" si="31"/>
        <v>0</v>
      </c>
    </row>
    <row r="506" spans="1:28" x14ac:dyDescent="0.2">
      <c r="A506" s="127" t="str">
        <f>'Scenario List'!$A$13</f>
        <v>11- High Electric Vehicle Growth</v>
      </c>
      <c r="B506" s="128" t="s">
        <v>15</v>
      </c>
      <c r="D506" s="140">
        <v>0</v>
      </c>
      <c r="E506" s="140">
        <v>0</v>
      </c>
      <c r="F506" s="140">
        <v>0</v>
      </c>
      <c r="G506" s="140">
        <v>0</v>
      </c>
      <c r="H506" s="140">
        <v>0</v>
      </c>
      <c r="I506" s="140">
        <v>0</v>
      </c>
      <c r="J506" s="140">
        <v>0</v>
      </c>
      <c r="K506" s="140">
        <v>200</v>
      </c>
      <c r="L506" s="140">
        <v>0</v>
      </c>
      <c r="M506" s="140">
        <v>200.00000000000006</v>
      </c>
      <c r="N506" s="140">
        <v>0</v>
      </c>
      <c r="O506" s="140">
        <v>0</v>
      </c>
      <c r="P506" s="140">
        <v>0</v>
      </c>
      <c r="Q506" s="140">
        <v>0</v>
      </c>
      <c r="R506" s="140">
        <v>0</v>
      </c>
      <c r="S506" s="140">
        <v>0</v>
      </c>
      <c r="T506" s="140">
        <v>0</v>
      </c>
      <c r="U506" s="140">
        <v>0</v>
      </c>
      <c r="V506" s="140">
        <v>140</v>
      </c>
      <c r="W506" s="140">
        <v>105</v>
      </c>
      <c r="X506" s="140">
        <v>199.8942129264494</v>
      </c>
      <c r="Y506" s="140">
        <v>200</v>
      </c>
      <c r="Z506" s="140">
        <v>200.00000000000017</v>
      </c>
      <c r="AB506" s="139">
        <f t="shared" si="31"/>
        <v>1244.8942129264497</v>
      </c>
    </row>
    <row r="507" spans="1:28" x14ac:dyDescent="0.2">
      <c r="A507" s="127" t="str">
        <f>'Scenario List'!$A$13</f>
        <v>11- High Electric Vehicle Growth</v>
      </c>
      <c r="B507" s="128" t="s">
        <v>16</v>
      </c>
      <c r="D507" s="140">
        <v>0</v>
      </c>
      <c r="E507" s="140">
        <v>0</v>
      </c>
      <c r="F507" s="140">
        <v>0</v>
      </c>
      <c r="G507" s="140">
        <v>0</v>
      </c>
      <c r="H507" s="140">
        <v>0</v>
      </c>
      <c r="I507" s="140">
        <v>0</v>
      </c>
      <c r="J507" s="140">
        <v>0</v>
      </c>
      <c r="K507" s="140">
        <v>0</v>
      </c>
      <c r="L507" s="140">
        <v>0</v>
      </c>
      <c r="M507" s="140">
        <v>25</v>
      </c>
      <c r="N507" s="140">
        <v>0</v>
      </c>
      <c r="O507" s="140">
        <v>0</v>
      </c>
      <c r="P507" s="140">
        <v>0</v>
      </c>
      <c r="Q507" s="140">
        <v>0</v>
      </c>
      <c r="R507" s="140">
        <v>0</v>
      </c>
      <c r="S507" s="140">
        <v>0</v>
      </c>
      <c r="T507" s="140">
        <v>61.47730253947006</v>
      </c>
      <c r="U507" s="140">
        <v>50</v>
      </c>
      <c r="V507" s="140">
        <v>84.230253257687224</v>
      </c>
      <c r="W507" s="140">
        <v>156.72349468168241</v>
      </c>
      <c r="X507" s="140">
        <v>0</v>
      </c>
      <c r="Y507" s="140">
        <v>50</v>
      </c>
      <c r="Z507" s="140">
        <v>0</v>
      </c>
      <c r="AB507" s="139">
        <f t="shared" si="31"/>
        <v>427.43105047883967</v>
      </c>
    </row>
    <row r="508" spans="1:28" x14ac:dyDescent="0.2">
      <c r="A508" s="127" t="str">
        <f>'Scenario List'!$A$13</f>
        <v>11- High Electric Vehicle Growth</v>
      </c>
      <c r="B508" s="128" t="s">
        <v>85</v>
      </c>
      <c r="D508" s="140">
        <v>0</v>
      </c>
      <c r="E508" s="140">
        <v>0</v>
      </c>
      <c r="F508" s="140">
        <v>0</v>
      </c>
      <c r="G508" s="140">
        <v>0</v>
      </c>
      <c r="H508" s="140">
        <v>0</v>
      </c>
      <c r="I508" s="140">
        <v>0</v>
      </c>
      <c r="J508" s="140">
        <v>0</v>
      </c>
      <c r="K508" s="140">
        <v>0</v>
      </c>
      <c r="L508" s="140">
        <v>0</v>
      </c>
      <c r="M508" s="140">
        <v>0</v>
      </c>
      <c r="N508" s="140">
        <v>0</v>
      </c>
      <c r="O508" s="140">
        <v>0</v>
      </c>
      <c r="P508" s="140">
        <v>0</v>
      </c>
      <c r="Q508" s="140">
        <v>81.493743202090656</v>
      </c>
      <c r="R508" s="140">
        <v>105.1026924078984</v>
      </c>
      <c r="S508" s="140">
        <v>0</v>
      </c>
      <c r="T508" s="140">
        <v>0</v>
      </c>
      <c r="U508" s="140">
        <v>0</v>
      </c>
      <c r="V508" s="140">
        <v>0</v>
      </c>
      <c r="W508" s="140">
        <v>82.388940371947115</v>
      </c>
      <c r="X508" s="140">
        <v>83.971725594228417</v>
      </c>
      <c r="Y508" s="140">
        <v>0</v>
      </c>
      <c r="Z508" s="140">
        <v>353.58590645681898</v>
      </c>
      <c r="AB508" s="139">
        <f t="shared" si="31"/>
        <v>706.54300803298361</v>
      </c>
    </row>
    <row r="509" spans="1:28" x14ac:dyDescent="0.2">
      <c r="A509" s="127" t="str">
        <f>'Scenario List'!$A$13</f>
        <v>11- High Electric Vehicle Growth</v>
      </c>
      <c r="B509" s="128" t="s">
        <v>86</v>
      </c>
      <c r="D509" s="140">
        <v>0</v>
      </c>
      <c r="E509" s="140">
        <v>0</v>
      </c>
      <c r="F509" s="140">
        <v>0</v>
      </c>
      <c r="G509" s="140">
        <v>0</v>
      </c>
      <c r="H509" s="140">
        <v>0</v>
      </c>
      <c r="I509" s="140">
        <v>0</v>
      </c>
      <c r="J509" s="140">
        <v>0</v>
      </c>
      <c r="K509" s="140">
        <v>0</v>
      </c>
      <c r="L509" s="140">
        <v>0</v>
      </c>
      <c r="M509" s="140">
        <v>20</v>
      </c>
      <c r="N509" s="140">
        <v>0</v>
      </c>
      <c r="O509" s="140">
        <v>0</v>
      </c>
      <c r="P509" s="140">
        <v>0</v>
      </c>
      <c r="Q509" s="140">
        <v>0</v>
      </c>
      <c r="R509" s="140">
        <v>0</v>
      </c>
      <c r="S509" s="140">
        <v>0</v>
      </c>
      <c r="T509" s="140">
        <v>0</v>
      </c>
      <c r="U509" s="140">
        <v>0</v>
      </c>
      <c r="V509" s="140">
        <v>0</v>
      </c>
      <c r="W509" s="140">
        <v>20</v>
      </c>
      <c r="X509" s="140">
        <v>0</v>
      </c>
      <c r="Y509" s="140">
        <v>0</v>
      </c>
      <c r="Z509" s="140">
        <v>57.6</v>
      </c>
      <c r="AB509" s="139">
        <f t="shared" si="31"/>
        <v>97.6</v>
      </c>
    </row>
    <row r="510" spans="1:28" x14ac:dyDescent="0.2">
      <c r="A510" s="127" t="str">
        <f>'Scenario List'!$A$13</f>
        <v>11- High Electric Vehicle Growth</v>
      </c>
      <c r="B510" s="128" t="s">
        <v>87</v>
      </c>
      <c r="D510" s="140">
        <v>0</v>
      </c>
      <c r="E510" s="140">
        <v>0</v>
      </c>
      <c r="F510" s="140">
        <v>0</v>
      </c>
      <c r="G510" s="140">
        <v>0</v>
      </c>
      <c r="H510" s="140">
        <v>0</v>
      </c>
      <c r="I510" s="140">
        <v>0</v>
      </c>
      <c r="J510" s="140">
        <v>0</v>
      </c>
      <c r="K510" s="140">
        <v>0</v>
      </c>
      <c r="L510" s="140">
        <v>0</v>
      </c>
      <c r="M510" s="140">
        <v>0</v>
      </c>
      <c r="N510" s="140">
        <v>0</v>
      </c>
      <c r="O510" s="140">
        <v>0</v>
      </c>
      <c r="P510" s="140">
        <v>0</v>
      </c>
      <c r="Q510" s="140">
        <v>0</v>
      </c>
      <c r="R510" s="140">
        <v>0</v>
      </c>
      <c r="S510" s="140">
        <v>0</v>
      </c>
      <c r="T510" s="140">
        <v>0</v>
      </c>
      <c r="U510" s="140">
        <v>0</v>
      </c>
      <c r="V510" s="140">
        <v>0</v>
      </c>
      <c r="W510" s="140">
        <v>0</v>
      </c>
      <c r="X510" s="140">
        <v>0</v>
      </c>
      <c r="Y510" s="140">
        <v>0</v>
      </c>
      <c r="Z510" s="140">
        <v>0</v>
      </c>
      <c r="AB510" s="139">
        <f t="shared" si="31"/>
        <v>0</v>
      </c>
    </row>
    <row r="511" spans="1:28" x14ac:dyDescent="0.2">
      <c r="A511" s="127" t="str">
        <f>'Scenario List'!$A$13</f>
        <v>11- High Electric Vehicle Growth</v>
      </c>
      <c r="B511" s="128" t="s">
        <v>17</v>
      </c>
      <c r="D511" s="140">
        <v>0</v>
      </c>
      <c r="E511" s="140">
        <v>0</v>
      </c>
      <c r="F511" s="140">
        <v>6.7666466459931875</v>
      </c>
      <c r="G511" s="140">
        <v>0</v>
      </c>
      <c r="H511" s="140">
        <v>0</v>
      </c>
      <c r="I511" s="140">
        <v>0</v>
      </c>
      <c r="J511" s="140">
        <v>0</v>
      </c>
      <c r="K511" s="140">
        <v>0</v>
      </c>
      <c r="L511" s="140">
        <v>0</v>
      </c>
      <c r="M511" s="140">
        <v>0</v>
      </c>
      <c r="N511" s="140">
        <v>0</v>
      </c>
      <c r="O511" s="140">
        <v>0</v>
      </c>
      <c r="P511" s="140">
        <v>0</v>
      </c>
      <c r="Q511" s="140">
        <v>0</v>
      </c>
      <c r="R511" s="140">
        <v>0</v>
      </c>
      <c r="S511" s="140">
        <v>0</v>
      </c>
      <c r="T511" s="140">
        <v>0</v>
      </c>
      <c r="U511" s="140">
        <v>0</v>
      </c>
      <c r="V511" s="140">
        <v>0</v>
      </c>
      <c r="W511" s="140">
        <v>0</v>
      </c>
      <c r="X511" s="140">
        <v>0</v>
      </c>
      <c r="Y511" s="140">
        <v>0</v>
      </c>
      <c r="Z511" s="140">
        <v>0</v>
      </c>
      <c r="AB511" s="139">
        <f t="shared" si="31"/>
        <v>6.7666466459931875</v>
      </c>
    </row>
    <row r="512" spans="1:28" x14ac:dyDescent="0.2">
      <c r="A512" s="127" t="str">
        <f>'Scenario List'!$A$13</f>
        <v>11- High Electric Vehicle Growth</v>
      </c>
      <c r="B512" s="128" t="s">
        <v>18</v>
      </c>
      <c r="D512" s="140">
        <v>1.4925744806916179</v>
      </c>
      <c r="E512" s="140">
        <v>1.8639319576359679</v>
      </c>
      <c r="F512" s="140">
        <v>2.1033294273317531</v>
      </c>
      <c r="G512" s="140">
        <v>2.4807955026968882</v>
      </c>
      <c r="H512" s="140">
        <v>2.6562999476467333</v>
      </c>
      <c r="I512" s="140">
        <v>2.8244965729708049</v>
      </c>
      <c r="J512" s="140">
        <v>2.8364295816587113</v>
      </c>
      <c r="K512" s="140">
        <v>2.7067151012868429</v>
      </c>
      <c r="L512" s="140">
        <v>3.0954404166585761</v>
      </c>
      <c r="M512" s="140">
        <v>3.2648956953908161</v>
      </c>
      <c r="N512" s="140">
        <v>3.1424294154078716</v>
      </c>
      <c r="O512" s="140">
        <v>3.2182200168210002</v>
      </c>
      <c r="P512" s="140">
        <v>3.1613440072709906</v>
      </c>
      <c r="Q512" s="140">
        <v>3.2000529148259531</v>
      </c>
      <c r="R512" s="140">
        <v>2.877085077837144</v>
      </c>
      <c r="S512" s="140">
        <v>2.5744478349307087</v>
      </c>
      <c r="T512" s="140">
        <v>2.4655365400838889</v>
      </c>
      <c r="U512" s="140">
        <v>2.4754173832179447</v>
      </c>
      <c r="V512" s="140">
        <v>2.19549856450368</v>
      </c>
      <c r="W512" s="140">
        <v>2.267669947101254</v>
      </c>
      <c r="X512" s="140">
        <v>1.3830339426047047</v>
      </c>
      <c r="Y512" s="140">
        <v>1.589758362852713</v>
      </c>
      <c r="Z512" s="140">
        <v>0.88325225603200863</v>
      </c>
      <c r="AB512" s="139">
        <f t="shared" si="31"/>
        <v>56.758654947458574</v>
      </c>
    </row>
    <row r="513" spans="1:28" x14ac:dyDescent="0.2">
      <c r="A513" s="127" t="str">
        <f>'Scenario List'!$A$13</f>
        <v>11- High Electric Vehicle Growth</v>
      </c>
      <c r="B513" s="128" t="s">
        <v>19</v>
      </c>
      <c r="D513" s="140">
        <v>1.3995789380041685</v>
      </c>
      <c r="E513" s="140">
        <v>1.780153748409731</v>
      </c>
      <c r="F513" s="140">
        <v>2.0527701855675149</v>
      </c>
      <c r="G513" s="140">
        <v>2.4896144644424227</v>
      </c>
      <c r="H513" s="140">
        <v>2.7261343449646809</v>
      </c>
      <c r="I513" s="140">
        <v>2.9528980726075034</v>
      </c>
      <c r="J513" s="140">
        <v>3.0163117271686932</v>
      </c>
      <c r="K513" s="140">
        <v>2.9447911683205632</v>
      </c>
      <c r="L513" s="140">
        <v>3.3602218442417531</v>
      </c>
      <c r="M513" s="140">
        <v>3.6068071547399647</v>
      </c>
      <c r="N513" s="140">
        <v>3.5255512329827319</v>
      </c>
      <c r="O513" s="140">
        <v>3.6006771006206755</v>
      </c>
      <c r="P513" s="140">
        <v>3.5132490454294825</v>
      </c>
      <c r="Q513" s="140">
        <v>3.502201084715594</v>
      </c>
      <c r="R513" s="140">
        <v>3.100664953232382</v>
      </c>
      <c r="S513" s="140">
        <v>2.6808654504840135</v>
      </c>
      <c r="T513" s="140">
        <v>2.5449326660745655</v>
      </c>
      <c r="U513" s="140">
        <v>2.4832206886370756</v>
      </c>
      <c r="V513" s="140">
        <v>2.1091037099153525</v>
      </c>
      <c r="W513" s="140">
        <v>2.1722334175274796</v>
      </c>
      <c r="X513" s="140">
        <v>1.3671688350531142</v>
      </c>
      <c r="Y513" s="140">
        <v>1.5651230278597978</v>
      </c>
      <c r="Z513" s="140">
        <v>0.88233711160069106</v>
      </c>
      <c r="AB513" s="139">
        <f t="shared" si="31"/>
        <v>59.376609972599951</v>
      </c>
    </row>
    <row r="514" spans="1:28" x14ac:dyDescent="0.2">
      <c r="A514" s="127" t="str">
        <f>'Scenario List'!$A$13</f>
        <v>11- High Electric Vehicle Growth</v>
      </c>
      <c r="B514" s="128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B514" s="139"/>
    </row>
    <row r="515" spans="1:28" x14ac:dyDescent="0.2">
      <c r="A515" s="127" t="str">
        <f>'Scenario List'!$A$13</f>
        <v>11- High Electric Vehicle Growth</v>
      </c>
      <c r="B515" s="132" t="s">
        <v>8</v>
      </c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B515" s="139"/>
    </row>
    <row r="516" spans="1:28" x14ac:dyDescent="0.2">
      <c r="A516" s="127" t="str">
        <f>'Scenario List'!$A$13</f>
        <v>11- High Electric Vehicle Growth</v>
      </c>
      <c r="B516" s="128" t="s">
        <v>12</v>
      </c>
      <c r="D516" s="140">
        <v>0</v>
      </c>
      <c r="E516" s="140">
        <v>0</v>
      </c>
      <c r="F516" s="140">
        <v>0</v>
      </c>
      <c r="G516" s="140">
        <v>0</v>
      </c>
      <c r="H516" s="140">
        <v>0</v>
      </c>
      <c r="I516" s="140">
        <v>0</v>
      </c>
      <c r="J516" s="140">
        <v>0</v>
      </c>
      <c r="K516" s="140">
        <v>0</v>
      </c>
      <c r="L516" s="140">
        <v>0</v>
      </c>
      <c r="M516" s="140">
        <v>0</v>
      </c>
      <c r="N516" s="140">
        <v>0</v>
      </c>
      <c r="O516" s="140">
        <v>99.230157591089807</v>
      </c>
      <c r="P516" s="140">
        <v>0</v>
      </c>
      <c r="Q516" s="140">
        <v>0</v>
      </c>
      <c r="R516" s="140">
        <v>0</v>
      </c>
      <c r="S516" s="140">
        <v>0</v>
      </c>
      <c r="T516" s="140">
        <v>0</v>
      </c>
      <c r="U516" s="140">
        <v>0</v>
      </c>
      <c r="V516" s="140">
        <v>0</v>
      </c>
      <c r="W516" s="140">
        <v>147.81274083274545</v>
      </c>
      <c r="X516" s="140">
        <v>0</v>
      </c>
      <c r="Y516" s="140">
        <v>0</v>
      </c>
      <c r="Z516" s="140">
        <v>46.414093543181131</v>
      </c>
      <c r="AB516" s="139">
        <f t="shared" ref="AB516:AB526" si="32">SUM(C516:Z516)</f>
        <v>293.45699196701639</v>
      </c>
    </row>
    <row r="517" spans="1:28" x14ac:dyDescent="0.2">
      <c r="A517" s="127" t="str">
        <f>'Scenario List'!$A$13</f>
        <v>11- High Electric Vehicle Growth</v>
      </c>
      <c r="B517" s="128" t="s">
        <v>13</v>
      </c>
      <c r="D517" s="140">
        <v>0</v>
      </c>
      <c r="E517" s="140">
        <v>0</v>
      </c>
      <c r="F517" s="140">
        <v>0</v>
      </c>
      <c r="G517" s="140">
        <v>0</v>
      </c>
      <c r="H517" s="140">
        <v>0</v>
      </c>
      <c r="I517" s="140">
        <v>0</v>
      </c>
      <c r="J517" s="140">
        <v>0</v>
      </c>
      <c r="K517" s="140">
        <v>0</v>
      </c>
      <c r="L517" s="140">
        <v>0</v>
      </c>
      <c r="M517" s="140">
        <v>0</v>
      </c>
      <c r="N517" s="140">
        <v>0</v>
      </c>
      <c r="O517" s="140">
        <v>0</v>
      </c>
      <c r="P517" s="140">
        <v>0</v>
      </c>
      <c r="Q517" s="140">
        <v>0</v>
      </c>
      <c r="R517" s="140">
        <v>0</v>
      </c>
      <c r="S517" s="140">
        <v>0</v>
      </c>
      <c r="T517" s="140">
        <v>0</v>
      </c>
      <c r="U517" s="140">
        <v>0</v>
      </c>
      <c r="V517" s="140">
        <v>0</v>
      </c>
      <c r="W517" s="140">
        <v>0</v>
      </c>
      <c r="X517" s="140">
        <v>0</v>
      </c>
      <c r="Y517" s="140">
        <v>0</v>
      </c>
      <c r="Z517" s="140">
        <v>0</v>
      </c>
      <c r="AB517" s="139">
        <f t="shared" si="32"/>
        <v>0</v>
      </c>
    </row>
    <row r="518" spans="1:28" x14ac:dyDescent="0.2">
      <c r="A518" s="127" t="str">
        <f>'Scenario List'!$A$13</f>
        <v>11- High Electric Vehicle Growth</v>
      </c>
      <c r="B518" s="128" t="s">
        <v>14</v>
      </c>
      <c r="D518" s="140">
        <v>0</v>
      </c>
      <c r="E518" s="140">
        <v>0</v>
      </c>
      <c r="F518" s="140">
        <v>0</v>
      </c>
      <c r="G518" s="140">
        <v>0</v>
      </c>
      <c r="H518" s="140">
        <v>0</v>
      </c>
      <c r="I518" s="140">
        <v>0</v>
      </c>
      <c r="J518" s="140">
        <v>0</v>
      </c>
      <c r="K518" s="140">
        <v>0</v>
      </c>
      <c r="L518" s="140">
        <v>0</v>
      </c>
      <c r="M518" s="140">
        <v>0</v>
      </c>
      <c r="N518" s="140">
        <v>0</v>
      </c>
      <c r="O518" s="140">
        <v>0</v>
      </c>
      <c r="P518" s="140">
        <v>0</v>
      </c>
      <c r="Q518" s="140">
        <v>0</v>
      </c>
      <c r="R518" s="140">
        <v>0</v>
      </c>
      <c r="S518" s="140">
        <v>0</v>
      </c>
      <c r="T518" s="140">
        <v>0</v>
      </c>
      <c r="U518" s="140">
        <v>0</v>
      </c>
      <c r="V518" s="140">
        <v>0</v>
      </c>
      <c r="W518" s="140">
        <v>0</v>
      </c>
      <c r="X518" s="140">
        <v>0</v>
      </c>
      <c r="Y518" s="140">
        <v>0</v>
      </c>
      <c r="Z518" s="140">
        <v>0</v>
      </c>
      <c r="AB518" s="139">
        <f t="shared" si="32"/>
        <v>0</v>
      </c>
    </row>
    <row r="519" spans="1:28" x14ac:dyDescent="0.2">
      <c r="A519" s="127" t="str">
        <f>'Scenario List'!$A$13</f>
        <v>11- High Electric Vehicle Growth</v>
      </c>
      <c r="B519" s="128" t="s">
        <v>15</v>
      </c>
      <c r="D519" s="140">
        <v>0</v>
      </c>
      <c r="E519" s="140">
        <v>0</v>
      </c>
      <c r="F519" s="140">
        <v>0</v>
      </c>
      <c r="G519" s="140">
        <v>0</v>
      </c>
      <c r="H519" s="140">
        <v>0</v>
      </c>
      <c r="I519" s="140">
        <v>0</v>
      </c>
      <c r="J519" s="140">
        <v>0</v>
      </c>
      <c r="K519" s="140">
        <v>0</v>
      </c>
      <c r="L519" s="140">
        <v>0</v>
      </c>
      <c r="M519" s="140">
        <v>0</v>
      </c>
      <c r="N519" s="140">
        <v>0</v>
      </c>
      <c r="O519" s="140">
        <v>0</v>
      </c>
      <c r="P519" s="140">
        <v>0</v>
      </c>
      <c r="Q519" s="140">
        <v>0</v>
      </c>
      <c r="R519" s="140">
        <v>0</v>
      </c>
      <c r="S519" s="140">
        <v>0</v>
      </c>
      <c r="T519" s="140">
        <v>0</v>
      </c>
      <c r="U519" s="140">
        <v>0</v>
      </c>
      <c r="V519" s="140">
        <v>0</v>
      </c>
      <c r="W519" s="140">
        <v>0</v>
      </c>
      <c r="X519" s="140">
        <v>0</v>
      </c>
      <c r="Y519" s="140">
        <v>0</v>
      </c>
      <c r="Z519" s="140">
        <v>0</v>
      </c>
      <c r="AB519" s="139">
        <f t="shared" si="32"/>
        <v>0</v>
      </c>
    </row>
    <row r="520" spans="1:28" x14ac:dyDescent="0.2">
      <c r="A520" s="127" t="str">
        <f>'Scenario List'!$A$13</f>
        <v>11- High Electric Vehicle Growth</v>
      </c>
      <c r="B520" s="128" t="s">
        <v>16</v>
      </c>
      <c r="D520" s="140">
        <v>0</v>
      </c>
      <c r="E520" s="140">
        <v>0</v>
      </c>
      <c r="F520" s="140">
        <v>0</v>
      </c>
      <c r="G520" s="140">
        <v>0</v>
      </c>
      <c r="H520" s="140">
        <v>0</v>
      </c>
      <c r="I520" s="140">
        <v>0</v>
      </c>
      <c r="J520" s="140">
        <v>0</v>
      </c>
      <c r="K520" s="140">
        <v>0</v>
      </c>
      <c r="L520" s="140">
        <v>0</v>
      </c>
      <c r="M520" s="140">
        <v>0</v>
      </c>
      <c r="N520" s="140">
        <v>0</v>
      </c>
      <c r="O520" s="140">
        <v>0</v>
      </c>
      <c r="P520" s="140">
        <v>0</v>
      </c>
      <c r="Q520" s="140">
        <v>0</v>
      </c>
      <c r="R520" s="140">
        <v>0</v>
      </c>
      <c r="S520" s="140">
        <v>0</v>
      </c>
      <c r="T520" s="140">
        <v>0</v>
      </c>
      <c r="U520" s="140">
        <v>0</v>
      </c>
      <c r="V520" s="140">
        <v>50.000000000000036</v>
      </c>
      <c r="W520" s="140">
        <v>0</v>
      </c>
      <c r="X520" s="140">
        <v>0</v>
      </c>
      <c r="Y520" s="140">
        <v>25.000000000000007</v>
      </c>
      <c r="Z520" s="140">
        <v>50</v>
      </c>
      <c r="AB520" s="139">
        <f t="shared" si="32"/>
        <v>125.00000000000004</v>
      </c>
    </row>
    <row r="521" spans="1:28" x14ac:dyDescent="0.2">
      <c r="A521" s="127" t="str">
        <f>'Scenario List'!$A$13</f>
        <v>11- High Electric Vehicle Growth</v>
      </c>
      <c r="B521" s="128" t="s">
        <v>85</v>
      </c>
      <c r="D521" s="140">
        <v>0</v>
      </c>
      <c r="E521" s="140">
        <v>0</v>
      </c>
      <c r="F521" s="140">
        <v>0</v>
      </c>
      <c r="G521" s="140">
        <v>0</v>
      </c>
      <c r="H521" s="140">
        <v>0</v>
      </c>
      <c r="I521" s="140">
        <v>0</v>
      </c>
      <c r="J521" s="140">
        <v>0</v>
      </c>
      <c r="K521" s="140">
        <v>0</v>
      </c>
      <c r="L521" s="140">
        <v>0</v>
      </c>
      <c r="M521" s="140">
        <v>0</v>
      </c>
      <c r="N521" s="140">
        <v>0</v>
      </c>
      <c r="O521" s="140">
        <v>0</v>
      </c>
      <c r="P521" s="140">
        <v>0</v>
      </c>
      <c r="Q521" s="140">
        <v>0</v>
      </c>
      <c r="R521" s="140">
        <v>0</v>
      </c>
      <c r="S521" s="140">
        <v>0</v>
      </c>
      <c r="T521" s="140">
        <v>0</v>
      </c>
      <c r="U521" s="140">
        <v>0</v>
      </c>
      <c r="V521" s="140">
        <v>0</v>
      </c>
      <c r="W521" s="140">
        <v>0</v>
      </c>
      <c r="X521" s="140">
        <v>0</v>
      </c>
      <c r="Y521" s="140">
        <v>0</v>
      </c>
      <c r="Z521" s="140">
        <v>0</v>
      </c>
      <c r="AB521" s="139">
        <f t="shared" si="32"/>
        <v>0</v>
      </c>
    </row>
    <row r="522" spans="1:28" x14ac:dyDescent="0.2">
      <c r="A522" s="127" t="str">
        <f>'Scenario List'!$A$13</f>
        <v>11- High Electric Vehicle Growth</v>
      </c>
      <c r="B522" s="128" t="s">
        <v>86</v>
      </c>
      <c r="D522" s="140">
        <v>0</v>
      </c>
      <c r="E522" s="140">
        <v>0</v>
      </c>
      <c r="F522" s="140">
        <v>0</v>
      </c>
      <c r="G522" s="140">
        <v>0</v>
      </c>
      <c r="H522" s="140">
        <v>0</v>
      </c>
      <c r="I522" s="140">
        <v>0</v>
      </c>
      <c r="J522" s="140">
        <v>0</v>
      </c>
      <c r="K522" s="140">
        <v>0</v>
      </c>
      <c r="L522" s="140">
        <v>0</v>
      </c>
      <c r="M522" s="140">
        <v>0</v>
      </c>
      <c r="N522" s="140">
        <v>0</v>
      </c>
      <c r="O522" s="140">
        <v>0</v>
      </c>
      <c r="P522" s="140">
        <v>0</v>
      </c>
      <c r="Q522" s="140">
        <v>0</v>
      </c>
      <c r="R522" s="140">
        <v>0</v>
      </c>
      <c r="S522" s="140">
        <v>0</v>
      </c>
      <c r="T522" s="140">
        <v>0</v>
      </c>
      <c r="U522" s="140">
        <v>0</v>
      </c>
      <c r="V522" s="140">
        <v>0</v>
      </c>
      <c r="W522" s="140">
        <v>0</v>
      </c>
      <c r="X522" s="140">
        <v>0</v>
      </c>
      <c r="Y522" s="140">
        <v>0</v>
      </c>
      <c r="Z522" s="140">
        <v>0</v>
      </c>
      <c r="AB522" s="139">
        <f t="shared" si="32"/>
        <v>0</v>
      </c>
    </row>
    <row r="523" spans="1:28" x14ac:dyDescent="0.2">
      <c r="A523" s="127" t="str">
        <f>'Scenario List'!$A$13</f>
        <v>11- High Electric Vehicle Growth</v>
      </c>
      <c r="B523" s="128" t="s">
        <v>87</v>
      </c>
      <c r="D523" s="140">
        <v>0</v>
      </c>
      <c r="E523" s="140">
        <v>0</v>
      </c>
      <c r="F523" s="140">
        <v>0</v>
      </c>
      <c r="G523" s="140">
        <v>0</v>
      </c>
      <c r="H523" s="140">
        <v>0</v>
      </c>
      <c r="I523" s="140">
        <v>0</v>
      </c>
      <c r="J523" s="140">
        <v>0</v>
      </c>
      <c r="K523" s="140">
        <v>0</v>
      </c>
      <c r="L523" s="140">
        <v>0</v>
      </c>
      <c r="M523" s="140">
        <v>0</v>
      </c>
      <c r="N523" s="140">
        <v>0</v>
      </c>
      <c r="O523" s="140">
        <v>0</v>
      </c>
      <c r="P523" s="140">
        <v>0</v>
      </c>
      <c r="Q523" s="140">
        <v>0</v>
      </c>
      <c r="R523" s="140">
        <v>0</v>
      </c>
      <c r="S523" s="140">
        <v>0</v>
      </c>
      <c r="T523" s="140">
        <v>0</v>
      </c>
      <c r="U523" s="140">
        <v>0</v>
      </c>
      <c r="V523" s="140">
        <v>0</v>
      </c>
      <c r="W523" s="140">
        <v>0</v>
      </c>
      <c r="X523" s="140">
        <v>0</v>
      </c>
      <c r="Y523" s="140">
        <v>0</v>
      </c>
      <c r="Z523" s="140">
        <v>0</v>
      </c>
      <c r="AB523" s="139">
        <f t="shared" si="32"/>
        <v>0</v>
      </c>
    </row>
    <row r="524" spans="1:28" x14ac:dyDescent="0.2">
      <c r="A524" s="127" t="str">
        <f>'Scenario List'!$A$13</f>
        <v>11- High Electric Vehicle Growth</v>
      </c>
      <c r="B524" s="128" t="s">
        <v>17</v>
      </c>
      <c r="D524" s="140">
        <v>0</v>
      </c>
      <c r="E524" s="140">
        <v>0</v>
      </c>
      <c r="F524" s="140">
        <v>0</v>
      </c>
      <c r="G524" s="140">
        <v>0</v>
      </c>
      <c r="H524" s="140">
        <v>0</v>
      </c>
      <c r="I524" s="140">
        <v>0</v>
      </c>
      <c r="J524" s="140">
        <v>0</v>
      </c>
      <c r="K524" s="140">
        <v>0</v>
      </c>
      <c r="L524" s="140">
        <v>0</v>
      </c>
      <c r="M524" s="140">
        <v>0</v>
      </c>
      <c r="N524" s="140">
        <v>0</v>
      </c>
      <c r="O524" s="140">
        <v>0</v>
      </c>
      <c r="P524" s="140">
        <v>0</v>
      </c>
      <c r="Q524" s="140">
        <v>0</v>
      </c>
      <c r="R524" s="140">
        <v>0</v>
      </c>
      <c r="S524" s="140">
        <v>0</v>
      </c>
      <c r="T524" s="140">
        <v>0</v>
      </c>
      <c r="U524" s="140">
        <v>0</v>
      </c>
      <c r="V524" s="140">
        <v>0</v>
      </c>
      <c r="W524" s="140">
        <v>0</v>
      </c>
      <c r="X524" s="140">
        <v>0</v>
      </c>
      <c r="Y524" s="140">
        <v>0</v>
      </c>
      <c r="Z524" s="140">
        <v>0</v>
      </c>
      <c r="AB524" s="139">
        <f t="shared" si="32"/>
        <v>0</v>
      </c>
    </row>
    <row r="525" spans="1:28" x14ac:dyDescent="0.2">
      <c r="A525" s="127" t="str">
        <f>'Scenario List'!$A$13</f>
        <v>11- High Electric Vehicle Growth</v>
      </c>
      <c r="B525" s="128" t="s">
        <v>18</v>
      </c>
      <c r="D525" s="140">
        <v>0.67665159449138046</v>
      </c>
      <c r="E525" s="140">
        <v>0.82855431014834879</v>
      </c>
      <c r="F525" s="140">
        <v>0.95377492191264346</v>
      </c>
      <c r="G525" s="140">
        <v>1.1074480494709098</v>
      </c>
      <c r="H525" s="140">
        <v>1.1901256151382844</v>
      </c>
      <c r="I525" s="140">
        <v>1.2589447843481176</v>
      </c>
      <c r="J525" s="140">
        <v>1.2510436656745254</v>
      </c>
      <c r="K525" s="140">
        <v>1.2300484044308755</v>
      </c>
      <c r="L525" s="140">
        <v>1.342342215968058</v>
      </c>
      <c r="M525" s="140">
        <v>1.400696159154057</v>
      </c>
      <c r="N525" s="140">
        <v>1.3242932583236513</v>
      </c>
      <c r="O525" s="140">
        <v>1.3545911739727838</v>
      </c>
      <c r="P525" s="140">
        <v>1.3196792479587405</v>
      </c>
      <c r="Q525" s="140">
        <v>1.3318769351632085</v>
      </c>
      <c r="R525" s="140">
        <v>1.1939713060679722</v>
      </c>
      <c r="S525" s="140">
        <v>1.0518692633688147</v>
      </c>
      <c r="T525" s="140">
        <v>1.0121463716495427</v>
      </c>
      <c r="U525" s="140">
        <v>1.0186774779492538</v>
      </c>
      <c r="V525" s="140">
        <v>0.877760330588643</v>
      </c>
      <c r="W525" s="140">
        <v>0.92751372388320874</v>
      </c>
      <c r="X525" s="140">
        <v>0.51758281396795169</v>
      </c>
      <c r="Y525" s="140">
        <v>0.58002819699269992</v>
      </c>
      <c r="Z525" s="140">
        <v>0.35605220850449371</v>
      </c>
      <c r="AB525" s="139">
        <f>SUM(C525:Z525)</f>
        <v>24.105672029128165</v>
      </c>
    </row>
    <row r="526" spans="1:28" x14ac:dyDescent="0.2">
      <c r="A526" s="127" t="str">
        <f>'Scenario List'!$A$13</f>
        <v>11- High Electric Vehicle Growth</v>
      </c>
      <c r="B526" s="128" t="s">
        <v>19</v>
      </c>
      <c r="D526" s="140">
        <v>0.62562231658832856</v>
      </c>
      <c r="E526" s="140">
        <v>0.78410345363320566</v>
      </c>
      <c r="F526" s="140">
        <v>0.92206436250838153</v>
      </c>
      <c r="G526" s="140">
        <v>1.0991322929002849</v>
      </c>
      <c r="H526" s="140">
        <v>1.2038225404599499</v>
      </c>
      <c r="I526" s="140">
        <v>1.2961110614627884</v>
      </c>
      <c r="J526" s="140">
        <v>1.3091463219422605</v>
      </c>
      <c r="K526" s="140">
        <v>1.3069459863379791</v>
      </c>
      <c r="L526" s="140">
        <v>1.4311169731154525</v>
      </c>
      <c r="M526" s="140">
        <v>1.5105366600174488</v>
      </c>
      <c r="N526" s="140">
        <v>1.4468977200044826</v>
      </c>
      <c r="O526" s="140">
        <v>1.4791587933862775</v>
      </c>
      <c r="P526" s="140">
        <v>1.4308527964935713</v>
      </c>
      <c r="Q526" s="140">
        <v>1.4251754364146247</v>
      </c>
      <c r="R526" s="140">
        <v>1.257809122160829</v>
      </c>
      <c r="S526" s="140">
        <v>1.0946140928780324</v>
      </c>
      <c r="T526" s="140">
        <v>1.0539599622719038</v>
      </c>
      <c r="U526" s="140">
        <v>1.0312716834732178</v>
      </c>
      <c r="V526" s="140">
        <v>0.863547319695396</v>
      </c>
      <c r="W526" s="140">
        <v>0.90083361902730275</v>
      </c>
      <c r="X526" s="140">
        <v>0.52831799831166393</v>
      </c>
      <c r="Y526" s="140">
        <v>0.595356714298795</v>
      </c>
      <c r="Z526" s="140">
        <v>0.37050509394486042</v>
      </c>
      <c r="AB526" s="139">
        <f t="shared" si="32"/>
        <v>24.966902321327037</v>
      </c>
    </row>
    <row r="527" spans="1:28" x14ac:dyDescent="0.2">
      <c r="A527" s="127" t="str">
        <f>'Scenario List'!$A$13</f>
        <v>11- High Electric Vehicle Growth</v>
      </c>
      <c r="B527" s="128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  <c r="AB527" s="139"/>
    </row>
    <row r="528" spans="1:28" x14ac:dyDescent="0.2">
      <c r="A528" s="127" t="str">
        <f>'Scenario List'!$A$13</f>
        <v>11- High Electric Vehicle Growth</v>
      </c>
      <c r="B528" s="131" t="s">
        <v>31</v>
      </c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  <c r="AB528" s="139"/>
    </row>
    <row r="529" spans="1:28" x14ac:dyDescent="0.2">
      <c r="A529" s="127" t="str">
        <f>'Scenario List'!$A$13</f>
        <v>11- High Electric Vehicle Growth</v>
      </c>
      <c r="B529" s="128" t="s">
        <v>1</v>
      </c>
      <c r="D529" s="140">
        <v>20.372730694185627</v>
      </c>
      <c r="E529" s="140">
        <v>44.387952613850914</v>
      </c>
      <c r="F529" s="140">
        <v>71.867547342882503</v>
      </c>
      <c r="G529" s="140">
        <v>101.51974570540365</v>
      </c>
      <c r="H529" s="140">
        <v>133.90332106759325</v>
      </c>
      <c r="I529" s="140">
        <v>169.16443538181471</v>
      </c>
      <c r="J529" s="140">
        <v>206.11915126449728</v>
      </c>
      <c r="K529" s="140">
        <v>242.04877579394218</v>
      </c>
      <c r="L529" s="140">
        <v>278.09985348896532</v>
      </c>
      <c r="M529" s="140">
        <v>312.45826292039612</v>
      </c>
      <c r="N529" s="140">
        <v>343.2786252321788</v>
      </c>
      <c r="O529" s="140">
        <v>370.73463046444851</v>
      </c>
      <c r="P529" s="140">
        <v>395.06971161221117</v>
      </c>
      <c r="Q529" s="140">
        <v>416.75355928368202</v>
      </c>
      <c r="R529" s="140">
        <v>436.23496669343297</v>
      </c>
      <c r="S529" s="140">
        <v>451.74483505118388</v>
      </c>
      <c r="T529" s="140">
        <v>465.86949033593055</v>
      </c>
      <c r="U529" s="140">
        <v>478.41958224699022</v>
      </c>
      <c r="V529" s="140">
        <v>490.3081088203603</v>
      </c>
      <c r="W529" s="140">
        <v>501.55627503734348</v>
      </c>
      <c r="X529" s="140">
        <v>507.92528712671344</v>
      </c>
      <c r="Y529" s="140">
        <v>514.16005579555781</v>
      </c>
      <c r="Z529" s="140">
        <v>518.9160940465855</v>
      </c>
      <c r="AB529" s="139">
        <f>Z529/8.76</f>
        <v>59.236997037281448</v>
      </c>
    </row>
    <row r="530" spans="1:28" x14ac:dyDescent="0.2">
      <c r="A530" s="127" t="str">
        <f>'Scenario List'!$A$13</f>
        <v>11- High Electric Vehicle Growth</v>
      </c>
      <c r="B530" s="128" t="s">
        <v>2</v>
      </c>
      <c r="D530" s="140">
        <v>8.024164628443879</v>
      </c>
      <c r="E530" s="140">
        <v>17.360848718282408</v>
      </c>
      <c r="F530" s="140">
        <v>27.976500039353805</v>
      </c>
      <c r="G530" s="140">
        <v>39.306074002210615</v>
      </c>
      <c r="H530" s="140">
        <v>51.573652123863241</v>
      </c>
      <c r="I530" s="140">
        <v>64.652888339467594</v>
      </c>
      <c r="J530" s="140">
        <v>78.149683751887508</v>
      </c>
      <c r="K530" s="140">
        <v>91.241176251544616</v>
      </c>
      <c r="L530" s="140">
        <v>104.50205029316869</v>
      </c>
      <c r="M530" s="140">
        <v>117.40280059459973</v>
      </c>
      <c r="N530" s="140">
        <v>128.5073320590574</v>
      </c>
      <c r="O530" s="140">
        <v>138.75723685658338</v>
      </c>
      <c r="P530" s="140">
        <v>148.22781503245307</v>
      </c>
      <c r="Q530" s="140">
        <v>157.03593016304913</v>
      </c>
      <c r="R530" s="140">
        <v>165.22513875232465</v>
      </c>
      <c r="S530" s="140">
        <v>171.8379528008725</v>
      </c>
      <c r="T530" s="140">
        <v>177.98352937076911</v>
      </c>
      <c r="U530" s="140">
        <v>183.52219256940461</v>
      </c>
      <c r="V530" s="140">
        <v>188.73741088781699</v>
      </c>
      <c r="W530" s="140">
        <v>193.72285262427238</v>
      </c>
      <c r="X530" s="140">
        <v>196.21932091665431</v>
      </c>
      <c r="Y530" s="140">
        <v>198.65862555280845</v>
      </c>
      <c r="Z530" s="140">
        <v>200.67635740242005</v>
      </c>
      <c r="AB530" s="139">
        <f>Z530/8.76</f>
        <v>22.908259977445212</v>
      </c>
    </row>
    <row r="531" spans="1:28" x14ac:dyDescent="0.2">
      <c r="A531" s="127" t="str">
        <f>'Scenario List'!$A$13</f>
        <v>11- High Electric Vehicle Growth</v>
      </c>
      <c r="B531" s="128" t="s">
        <v>4</v>
      </c>
      <c r="D531" s="140">
        <v>28.396895322629504</v>
      </c>
      <c r="E531" s="140">
        <v>61.748801332133326</v>
      </c>
      <c r="F531" s="140">
        <v>99.844047382236312</v>
      </c>
      <c r="G531" s="140">
        <v>140.82581970761427</v>
      </c>
      <c r="H531" s="140">
        <v>185.47697319145649</v>
      </c>
      <c r="I531" s="140">
        <v>233.81732372128232</v>
      </c>
      <c r="J531" s="140">
        <v>284.2688350163848</v>
      </c>
      <c r="K531" s="140">
        <v>333.28995204548681</v>
      </c>
      <c r="L531" s="140">
        <v>382.601903782134</v>
      </c>
      <c r="M531" s="140">
        <v>429.86106351499586</v>
      </c>
      <c r="N531" s="140">
        <v>471.78595729123617</v>
      </c>
      <c r="O531" s="140">
        <v>509.49186732103192</v>
      </c>
      <c r="P531" s="140">
        <v>543.29752664466423</v>
      </c>
      <c r="Q531" s="140">
        <v>573.78948944673118</v>
      </c>
      <c r="R531" s="140">
        <v>601.46010544575756</v>
      </c>
      <c r="S531" s="140">
        <v>623.58278785205641</v>
      </c>
      <c r="T531" s="140">
        <v>643.85301970669968</v>
      </c>
      <c r="U531" s="140">
        <v>661.94177481639485</v>
      </c>
      <c r="V531" s="140">
        <v>679.04551970817727</v>
      </c>
      <c r="W531" s="140">
        <v>695.2791276616158</v>
      </c>
      <c r="X531" s="140">
        <v>704.14460804336773</v>
      </c>
      <c r="Y531" s="140">
        <v>712.81868134836623</v>
      </c>
      <c r="Z531" s="140">
        <v>719.59245144900558</v>
      </c>
      <c r="AB531" s="139">
        <f>Z531/8.76</f>
        <v>82.145257014726667</v>
      </c>
    </row>
    <row r="532" spans="1:28" x14ac:dyDescent="0.2">
      <c r="A532" s="127" t="str">
        <f>'Scenario List'!$A$13</f>
        <v>11- High Electric Vehicle Growth</v>
      </c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  <c r="AB532" s="139"/>
    </row>
    <row r="533" spans="1:28" x14ac:dyDescent="0.2">
      <c r="A533" s="127" t="str">
        <f>'Scenario List'!$A$13</f>
        <v>11- High Electric Vehicle Growth</v>
      </c>
      <c r="B533" s="141" t="s">
        <v>32</v>
      </c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  <c r="AB533" s="139"/>
    </row>
    <row r="534" spans="1:28" x14ac:dyDescent="0.2">
      <c r="A534" s="127" t="str">
        <f>'Scenario List'!$A$13</f>
        <v>11- High Electric Vehicle Growth</v>
      </c>
      <c r="B534" s="128" t="s">
        <v>1</v>
      </c>
      <c r="D534" s="140">
        <v>2.4519043156192453</v>
      </c>
      <c r="E534" s="140">
        <v>5.3441291278185457</v>
      </c>
      <c r="F534" s="140">
        <v>8.6504853801411077</v>
      </c>
      <c r="G534" s="140">
        <v>12.220722478359114</v>
      </c>
      <c r="H534" s="140">
        <v>16.120199134511306</v>
      </c>
      <c r="I534" s="140">
        <v>20.373020322359476</v>
      </c>
      <c r="J534" s="140">
        <v>24.81755628228472</v>
      </c>
      <c r="K534" s="140">
        <v>29.145674132791083</v>
      </c>
      <c r="L534" s="140">
        <v>33.489525332291429</v>
      </c>
      <c r="M534" s="140">
        <v>37.642585577145148</v>
      </c>
      <c r="N534" s="140">
        <v>41.34582095608328</v>
      </c>
      <c r="O534" s="140">
        <v>44.656801000010709</v>
      </c>
      <c r="P534" s="140">
        <v>47.592512263894164</v>
      </c>
      <c r="Q534" s="140">
        <v>50.226369654901447</v>
      </c>
      <c r="R534" s="140">
        <v>52.561667955892879</v>
      </c>
      <c r="S534" s="140">
        <v>54.435894564261858</v>
      </c>
      <c r="T534" s="140">
        <v>56.143710239508472</v>
      </c>
      <c r="U534" s="140">
        <v>57.68246197980821</v>
      </c>
      <c r="V534" s="140">
        <v>59.101660989770622</v>
      </c>
      <c r="W534" s="140">
        <v>60.464383600438985</v>
      </c>
      <c r="X534" s="140">
        <v>61.239406068062301</v>
      </c>
      <c r="Y534" s="140">
        <v>62.021395896216752</v>
      </c>
      <c r="Z534" s="140">
        <v>62.580269219364048</v>
      </c>
      <c r="AB534" s="139">
        <f>Z534</f>
        <v>62.580269219364048</v>
      </c>
    </row>
    <row r="535" spans="1:28" x14ac:dyDescent="0.2">
      <c r="A535" s="127" t="str">
        <f>'Scenario List'!$A$13</f>
        <v>11- High Electric Vehicle Growth</v>
      </c>
      <c r="B535" s="128" t="s">
        <v>2</v>
      </c>
      <c r="D535" s="140">
        <v>0.96572640050339154</v>
      </c>
      <c r="E535" s="140">
        <v>2.0901756412633783</v>
      </c>
      <c r="F535" s="140">
        <v>3.3674490576853535</v>
      </c>
      <c r="G535" s="140">
        <v>4.7315782634913974</v>
      </c>
      <c r="H535" s="140">
        <v>6.2087895632626999</v>
      </c>
      <c r="I535" s="140">
        <v>7.7863565415878675</v>
      </c>
      <c r="J535" s="140">
        <v>9.4095292118995069</v>
      </c>
      <c r="K535" s="140">
        <v>10.986569057403306</v>
      </c>
      <c r="L535" s="140">
        <v>12.584415333783451</v>
      </c>
      <c r="M535" s="140">
        <v>14.143792924767775</v>
      </c>
      <c r="N535" s="140">
        <v>15.477925953776127</v>
      </c>
      <c r="O535" s="140">
        <v>16.713988401496263</v>
      </c>
      <c r="P535" s="140">
        <v>17.85642861862005</v>
      </c>
      <c r="Q535" s="140">
        <v>18.925680421367961</v>
      </c>
      <c r="R535" s="140">
        <v>19.907869712720927</v>
      </c>
      <c r="S535" s="140">
        <v>20.706717498490161</v>
      </c>
      <c r="T535" s="140">
        <v>21.449474386468136</v>
      </c>
      <c r="U535" s="140">
        <v>22.127045564515708</v>
      </c>
      <c r="V535" s="140">
        <v>22.750377311148391</v>
      </c>
      <c r="W535" s="140">
        <v>23.353975328836619</v>
      </c>
      <c r="X535" s="140">
        <v>23.657720882513715</v>
      </c>
      <c r="Y535" s="140">
        <v>23.963520940078954</v>
      </c>
      <c r="Z535" s="140">
        <v>24.201177447152645</v>
      </c>
      <c r="AB535" s="139">
        <f>Z535</f>
        <v>24.201177447152645</v>
      </c>
    </row>
    <row r="536" spans="1:28" x14ac:dyDescent="0.2">
      <c r="A536" s="127" t="str">
        <f>'Scenario List'!$A$13</f>
        <v>11- High Electric Vehicle Growth</v>
      </c>
      <c r="B536" s="128" t="s">
        <v>4</v>
      </c>
      <c r="D536" s="140">
        <v>3.4176307161226367</v>
      </c>
      <c r="E536" s="140">
        <v>7.4343047690819244</v>
      </c>
      <c r="F536" s="140">
        <v>12.017934437826462</v>
      </c>
      <c r="G536" s="140">
        <v>16.952300741850511</v>
      </c>
      <c r="H536" s="140">
        <v>22.328988697774008</v>
      </c>
      <c r="I536" s="140">
        <v>28.159376863947344</v>
      </c>
      <c r="J536" s="140">
        <v>34.227085494184223</v>
      </c>
      <c r="K536" s="140">
        <v>40.132243190194387</v>
      </c>
      <c r="L536" s="140">
        <v>46.073940666074876</v>
      </c>
      <c r="M536" s="140">
        <v>51.786378501912921</v>
      </c>
      <c r="N536" s="140">
        <v>56.823746909859409</v>
      </c>
      <c r="O536" s="140">
        <v>61.370789401506968</v>
      </c>
      <c r="P536" s="140">
        <v>65.448940882514222</v>
      </c>
      <c r="Q536" s="140">
        <v>69.152050076269404</v>
      </c>
      <c r="R536" s="140">
        <v>72.46953766861381</v>
      </c>
      <c r="S536" s="140">
        <v>75.142612062752022</v>
      </c>
      <c r="T536" s="140">
        <v>77.593184625976605</v>
      </c>
      <c r="U536" s="140">
        <v>79.809507544323921</v>
      </c>
      <c r="V536" s="140">
        <v>81.85203830091902</v>
      </c>
      <c r="W536" s="140">
        <v>83.818358929275604</v>
      </c>
      <c r="X536" s="140">
        <v>84.897126950576023</v>
      </c>
      <c r="Y536" s="140">
        <v>85.98491683629571</v>
      </c>
      <c r="Z536" s="140">
        <v>86.7814466665167</v>
      </c>
      <c r="AB536" s="139">
        <f>Z536</f>
        <v>86.7814466665167</v>
      </c>
    </row>
    <row r="539" spans="1:28" x14ac:dyDescent="0.2">
      <c r="A539" s="127" t="str">
        <f>'Scenario List'!$A$14</f>
        <v>12- WA Space/ Water Electrification</v>
      </c>
      <c r="B539" s="131" t="s">
        <v>11</v>
      </c>
    </row>
    <row r="540" spans="1:28" x14ac:dyDescent="0.2">
      <c r="A540" s="127" t="str">
        <f>'Scenario List'!$A$14</f>
        <v>12- WA Space/ Water Electrification</v>
      </c>
      <c r="B540" s="128" t="s">
        <v>12</v>
      </c>
      <c r="D540" s="140">
        <v>0</v>
      </c>
      <c r="E540" s="140">
        <v>0</v>
      </c>
      <c r="F540" s="140">
        <v>0</v>
      </c>
      <c r="G540" s="140">
        <v>0</v>
      </c>
      <c r="H540" s="140">
        <v>0</v>
      </c>
      <c r="I540" s="140">
        <v>0</v>
      </c>
      <c r="J540" s="140">
        <v>0</v>
      </c>
      <c r="K540" s="140">
        <v>0</v>
      </c>
      <c r="L540" s="140">
        <v>0</v>
      </c>
      <c r="M540" s="140">
        <v>0</v>
      </c>
      <c r="N540" s="140">
        <v>0</v>
      </c>
      <c r="O540" s="140">
        <v>0</v>
      </c>
      <c r="P540" s="140">
        <v>0</v>
      </c>
      <c r="Q540" s="140">
        <v>0</v>
      </c>
      <c r="R540" s="140">
        <v>0</v>
      </c>
      <c r="S540" s="140">
        <v>0</v>
      </c>
      <c r="T540" s="140">
        <v>0</v>
      </c>
      <c r="U540" s="140">
        <v>0</v>
      </c>
      <c r="V540" s="140">
        <v>0</v>
      </c>
      <c r="W540" s="140">
        <v>0</v>
      </c>
      <c r="X540" s="140">
        <v>0</v>
      </c>
      <c r="Y540" s="140">
        <v>0</v>
      </c>
      <c r="Z540" s="140">
        <v>0</v>
      </c>
      <c r="AB540" s="139">
        <f>SUM(C540:Z540)</f>
        <v>0</v>
      </c>
    </row>
    <row r="541" spans="1:28" x14ac:dyDescent="0.2">
      <c r="A541" s="127" t="str">
        <f>'Scenario List'!$A$14</f>
        <v>12- WA Space/ Water Electrification</v>
      </c>
      <c r="B541" s="128" t="s">
        <v>13</v>
      </c>
      <c r="D541" s="140">
        <v>0</v>
      </c>
      <c r="E541" s="140">
        <v>0</v>
      </c>
      <c r="F541" s="140">
        <v>0</v>
      </c>
      <c r="G541" s="140">
        <v>0</v>
      </c>
      <c r="H541" s="140">
        <v>0</v>
      </c>
      <c r="I541" s="140">
        <v>0</v>
      </c>
      <c r="J541" s="140">
        <v>0</v>
      </c>
      <c r="K541" s="140">
        <v>0</v>
      </c>
      <c r="L541" s="140">
        <v>0</v>
      </c>
      <c r="M541" s="140">
        <v>0</v>
      </c>
      <c r="N541" s="140">
        <v>0</v>
      </c>
      <c r="O541" s="140">
        <v>0</v>
      </c>
      <c r="P541" s="140">
        <v>0</v>
      </c>
      <c r="Q541" s="140">
        <v>0</v>
      </c>
      <c r="R541" s="140">
        <v>0</v>
      </c>
      <c r="S541" s="140">
        <v>0</v>
      </c>
      <c r="T541" s="140">
        <v>0</v>
      </c>
      <c r="U541" s="140">
        <v>0</v>
      </c>
      <c r="V541" s="140">
        <v>0</v>
      </c>
      <c r="W541" s="140">
        <v>0</v>
      </c>
      <c r="X541" s="140">
        <v>0</v>
      </c>
      <c r="Y541" s="140">
        <v>0</v>
      </c>
      <c r="Z541" s="140">
        <v>0</v>
      </c>
      <c r="AB541" s="139">
        <f t="shared" ref="AB541:AB548" si="33">SUM(C541:Z541)</f>
        <v>0</v>
      </c>
    </row>
    <row r="542" spans="1:28" x14ac:dyDescent="0.2">
      <c r="A542" s="127" t="str">
        <f>'Scenario List'!$A$14</f>
        <v>12- WA Space/ Water Electrification</v>
      </c>
      <c r="B542" s="128" t="s">
        <v>14</v>
      </c>
      <c r="D542" s="140">
        <v>0</v>
      </c>
      <c r="E542" s="140">
        <v>0</v>
      </c>
      <c r="F542" s="140">
        <v>0</v>
      </c>
      <c r="G542" s="140">
        <v>0</v>
      </c>
      <c r="H542" s="140">
        <v>0</v>
      </c>
      <c r="I542" s="140">
        <v>0</v>
      </c>
      <c r="J542" s="140">
        <v>0</v>
      </c>
      <c r="K542" s="140">
        <v>0</v>
      </c>
      <c r="L542" s="140">
        <v>0</v>
      </c>
      <c r="M542" s="140">
        <v>0</v>
      </c>
      <c r="N542" s="140">
        <v>0</v>
      </c>
      <c r="O542" s="140">
        <v>0</v>
      </c>
      <c r="P542" s="140">
        <v>0</v>
      </c>
      <c r="Q542" s="140">
        <v>0</v>
      </c>
      <c r="R542" s="140">
        <v>0</v>
      </c>
      <c r="S542" s="140">
        <v>0</v>
      </c>
      <c r="T542" s="140">
        <v>0</v>
      </c>
      <c r="U542" s="140">
        <v>0</v>
      </c>
      <c r="V542" s="140">
        <v>0</v>
      </c>
      <c r="W542" s="140">
        <v>0</v>
      </c>
      <c r="X542" s="140">
        <v>0</v>
      </c>
      <c r="Y542" s="140">
        <v>0</v>
      </c>
      <c r="Z542" s="140">
        <v>0</v>
      </c>
      <c r="AB542" s="139">
        <f t="shared" si="33"/>
        <v>0</v>
      </c>
    </row>
    <row r="543" spans="1:28" x14ac:dyDescent="0.2">
      <c r="A543" s="127" t="str">
        <f>'Scenario List'!$A$14</f>
        <v>12- WA Space/ Water Electrification</v>
      </c>
      <c r="B543" s="128" t="s">
        <v>15</v>
      </c>
      <c r="D543" s="140">
        <v>0</v>
      </c>
      <c r="E543" s="140">
        <v>0</v>
      </c>
      <c r="F543" s="140">
        <v>0</v>
      </c>
      <c r="G543" s="140">
        <v>0</v>
      </c>
      <c r="H543" s="140">
        <v>0</v>
      </c>
      <c r="I543" s="140">
        <v>0</v>
      </c>
      <c r="J543" s="140">
        <v>0</v>
      </c>
      <c r="K543" s="140">
        <v>0</v>
      </c>
      <c r="L543" s="140">
        <v>0</v>
      </c>
      <c r="M543" s="140">
        <v>0</v>
      </c>
      <c r="N543" s="140">
        <v>0</v>
      </c>
      <c r="O543" s="140">
        <v>0</v>
      </c>
      <c r="P543" s="140">
        <v>0</v>
      </c>
      <c r="Q543" s="140">
        <v>0</v>
      </c>
      <c r="R543" s="140">
        <v>0</v>
      </c>
      <c r="S543" s="140">
        <v>0</v>
      </c>
      <c r="T543" s="140">
        <v>0</v>
      </c>
      <c r="U543" s="140">
        <v>0</v>
      </c>
      <c r="V543" s="140">
        <v>0</v>
      </c>
      <c r="W543" s="140">
        <v>0</v>
      </c>
      <c r="X543" s="140">
        <v>0</v>
      </c>
      <c r="Y543" s="140">
        <v>0</v>
      </c>
      <c r="Z543" s="140">
        <v>0</v>
      </c>
      <c r="AB543" s="139">
        <f t="shared" si="33"/>
        <v>0</v>
      </c>
    </row>
    <row r="544" spans="1:28" x14ac:dyDescent="0.2">
      <c r="A544" s="127" t="str">
        <f>'Scenario List'!$A$14</f>
        <v>12- WA Space/ Water Electrification</v>
      </c>
      <c r="B544" s="128" t="s">
        <v>16</v>
      </c>
      <c r="D544" s="140">
        <v>0</v>
      </c>
      <c r="E544" s="140">
        <v>0</v>
      </c>
      <c r="F544" s="140">
        <v>0</v>
      </c>
      <c r="G544" s="140">
        <v>0</v>
      </c>
      <c r="H544" s="140">
        <v>0</v>
      </c>
      <c r="I544" s="140">
        <v>0</v>
      </c>
      <c r="J544" s="140">
        <v>0</v>
      </c>
      <c r="K544" s="140">
        <v>0</v>
      </c>
      <c r="L544" s="140">
        <v>0</v>
      </c>
      <c r="M544" s="140">
        <v>0</v>
      </c>
      <c r="N544" s="140">
        <v>0</v>
      </c>
      <c r="O544" s="140">
        <v>0</v>
      </c>
      <c r="P544" s="140">
        <v>0</v>
      </c>
      <c r="Q544" s="140">
        <v>0</v>
      </c>
      <c r="R544" s="140">
        <v>0</v>
      </c>
      <c r="S544" s="140">
        <v>0</v>
      </c>
      <c r="T544" s="140">
        <v>0</v>
      </c>
      <c r="U544" s="140">
        <v>50</v>
      </c>
      <c r="V544" s="140">
        <v>0</v>
      </c>
      <c r="W544" s="140">
        <v>0</v>
      </c>
      <c r="X544" s="140">
        <v>0</v>
      </c>
      <c r="Y544" s="140">
        <v>0</v>
      </c>
      <c r="Z544" s="140">
        <v>0</v>
      </c>
      <c r="AB544" s="139">
        <f t="shared" si="33"/>
        <v>50</v>
      </c>
    </row>
    <row r="545" spans="1:28" x14ac:dyDescent="0.2">
      <c r="A545" s="127" t="str">
        <f>'Scenario List'!$A$14</f>
        <v>12- WA Space/ Water Electrification</v>
      </c>
      <c r="B545" s="128" t="s">
        <v>85</v>
      </c>
      <c r="D545" s="140">
        <v>0</v>
      </c>
      <c r="E545" s="140">
        <v>0</v>
      </c>
      <c r="F545" s="140">
        <v>0</v>
      </c>
      <c r="G545" s="140">
        <v>0</v>
      </c>
      <c r="H545" s="140">
        <v>0</v>
      </c>
      <c r="I545" s="140">
        <v>0</v>
      </c>
      <c r="J545" s="140">
        <v>0</v>
      </c>
      <c r="K545" s="140">
        <v>0</v>
      </c>
      <c r="L545" s="140">
        <v>0</v>
      </c>
      <c r="M545" s="140">
        <v>0</v>
      </c>
      <c r="N545" s="140">
        <v>0</v>
      </c>
      <c r="O545" s="140">
        <v>0</v>
      </c>
      <c r="P545" s="140">
        <v>0</v>
      </c>
      <c r="Q545" s="140">
        <v>0</v>
      </c>
      <c r="R545" s="140">
        <v>0</v>
      </c>
      <c r="S545" s="140">
        <v>0</v>
      </c>
      <c r="T545" s="140">
        <v>0</v>
      </c>
      <c r="U545" s="140">
        <v>0</v>
      </c>
      <c r="V545" s="140">
        <v>0</v>
      </c>
      <c r="W545" s="140">
        <v>0</v>
      </c>
      <c r="X545" s="140">
        <v>0</v>
      </c>
      <c r="Y545" s="140">
        <v>0</v>
      </c>
      <c r="Z545" s="140">
        <v>0</v>
      </c>
      <c r="AB545" s="139">
        <f t="shared" si="33"/>
        <v>0</v>
      </c>
    </row>
    <row r="546" spans="1:28" x14ac:dyDescent="0.2">
      <c r="A546" s="127" t="str">
        <f>'Scenario List'!$A$14</f>
        <v>12- WA Space/ Water Electrification</v>
      </c>
      <c r="B546" s="128" t="s">
        <v>86</v>
      </c>
      <c r="D546" s="140">
        <v>0</v>
      </c>
      <c r="E546" s="140">
        <v>0</v>
      </c>
      <c r="F546" s="140">
        <v>0</v>
      </c>
      <c r="G546" s="140">
        <v>0</v>
      </c>
      <c r="H546" s="140">
        <v>0</v>
      </c>
      <c r="I546" s="140">
        <v>0</v>
      </c>
      <c r="J546" s="140">
        <v>0</v>
      </c>
      <c r="K546" s="140">
        <v>0</v>
      </c>
      <c r="L546" s="140">
        <v>0</v>
      </c>
      <c r="M546" s="140">
        <v>0</v>
      </c>
      <c r="N546" s="140">
        <v>0</v>
      </c>
      <c r="O546" s="140">
        <v>0</v>
      </c>
      <c r="P546" s="140">
        <v>0</v>
      </c>
      <c r="Q546" s="140">
        <v>0</v>
      </c>
      <c r="R546" s="140">
        <v>0</v>
      </c>
      <c r="S546" s="140">
        <v>0</v>
      </c>
      <c r="T546" s="140">
        <v>0</v>
      </c>
      <c r="U546" s="140">
        <v>0</v>
      </c>
      <c r="V546" s="140">
        <v>0</v>
      </c>
      <c r="W546" s="140">
        <v>0</v>
      </c>
      <c r="X546" s="140">
        <v>0</v>
      </c>
      <c r="Y546" s="140">
        <v>0</v>
      </c>
      <c r="Z546" s="140">
        <v>0</v>
      </c>
      <c r="AB546" s="139">
        <f t="shared" si="33"/>
        <v>0</v>
      </c>
    </row>
    <row r="547" spans="1:28" x14ac:dyDescent="0.2">
      <c r="A547" s="127" t="str">
        <f>'Scenario List'!$A$14</f>
        <v>12- WA Space/ Water Electrification</v>
      </c>
      <c r="B547" s="128" t="s">
        <v>87</v>
      </c>
      <c r="D547" s="140">
        <v>0</v>
      </c>
      <c r="E547" s="140">
        <v>0</v>
      </c>
      <c r="F547" s="140">
        <v>0</v>
      </c>
      <c r="G547" s="140">
        <v>0</v>
      </c>
      <c r="H547" s="140">
        <v>0</v>
      </c>
      <c r="I547" s="140">
        <v>0</v>
      </c>
      <c r="J547" s="140">
        <v>0</v>
      </c>
      <c r="K547" s="140">
        <v>0</v>
      </c>
      <c r="L547" s="140">
        <v>0</v>
      </c>
      <c r="M547" s="140">
        <v>0</v>
      </c>
      <c r="N547" s="140">
        <v>0</v>
      </c>
      <c r="O547" s="140">
        <v>0</v>
      </c>
      <c r="P547" s="140">
        <v>0</v>
      </c>
      <c r="Q547" s="140">
        <v>0</v>
      </c>
      <c r="R547" s="140">
        <v>0</v>
      </c>
      <c r="S547" s="140">
        <v>0</v>
      </c>
      <c r="T547" s="140">
        <v>0</v>
      </c>
      <c r="U547" s="140">
        <v>0</v>
      </c>
      <c r="V547" s="140">
        <v>0</v>
      </c>
      <c r="W547" s="140">
        <v>0</v>
      </c>
      <c r="X547" s="140">
        <v>0</v>
      </c>
      <c r="Y547" s="140">
        <v>0</v>
      </c>
      <c r="Z547" s="140">
        <v>0</v>
      </c>
      <c r="AB547" s="139">
        <f t="shared" si="33"/>
        <v>0</v>
      </c>
    </row>
    <row r="548" spans="1:28" x14ac:dyDescent="0.2">
      <c r="A548" s="127" t="str">
        <f>'Scenario List'!$A$14</f>
        <v>12- WA Space/ Water Electrification</v>
      </c>
      <c r="B548" s="128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  <c r="AB548" s="139">
        <f t="shared" si="33"/>
        <v>0</v>
      </c>
    </row>
    <row r="549" spans="1:28" x14ac:dyDescent="0.2">
      <c r="A549" s="127" t="str">
        <f>'Scenario List'!$A$14</f>
        <v>12- WA Space/ Water Electrification</v>
      </c>
      <c r="B549" s="128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  <c r="AB549" s="139"/>
    </row>
    <row r="550" spans="1:28" x14ac:dyDescent="0.2">
      <c r="A550" s="127" t="str">
        <f>'Scenario List'!$A$14</f>
        <v>12- WA Space/ Water Electrification</v>
      </c>
      <c r="B550" s="128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  <c r="AB550" s="139"/>
    </row>
    <row r="551" spans="1:28" x14ac:dyDescent="0.2">
      <c r="A551" s="127" t="str">
        <f>'Scenario List'!$A$14</f>
        <v>12- WA Space/ Water Electrification</v>
      </c>
      <c r="B551" s="131" t="s">
        <v>9</v>
      </c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  <c r="AB551" s="139"/>
    </row>
    <row r="552" spans="1:28" x14ac:dyDescent="0.2">
      <c r="A552" s="127" t="str">
        <f>'Scenario List'!$A$14</f>
        <v>12- WA Space/ Water Electrification</v>
      </c>
      <c r="B552" s="128" t="s">
        <v>12</v>
      </c>
      <c r="D552" s="140">
        <v>0</v>
      </c>
      <c r="E552" s="140">
        <v>0</v>
      </c>
      <c r="F552" s="140">
        <v>0</v>
      </c>
      <c r="G552" s="140">
        <v>0</v>
      </c>
      <c r="H552" s="140">
        <v>0</v>
      </c>
      <c r="I552" s="140">
        <v>0</v>
      </c>
      <c r="J552" s="140">
        <v>0</v>
      </c>
      <c r="K552" s="140">
        <v>0</v>
      </c>
      <c r="L552" s="140">
        <v>0</v>
      </c>
      <c r="M552" s="140">
        <v>0</v>
      </c>
      <c r="N552" s="140">
        <v>0</v>
      </c>
      <c r="O552" s="140">
        <v>0</v>
      </c>
      <c r="P552" s="140">
        <v>0</v>
      </c>
      <c r="Q552" s="140">
        <v>0</v>
      </c>
      <c r="R552" s="140">
        <v>0</v>
      </c>
      <c r="S552" s="140">
        <v>0</v>
      </c>
      <c r="T552" s="140">
        <v>0</v>
      </c>
      <c r="U552" s="140">
        <v>0</v>
      </c>
      <c r="V552" s="140">
        <v>0</v>
      </c>
      <c r="W552" s="140">
        <v>0</v>
      </c>
      <c r="X552" s="140">
        <v>0</v>
      </c>
      <c r="Y552" s="140">
        <v>0</v>
      </c>
      <c r="Z552" s="140">
        <v>0</v>
      </c>
      <c r="AB552" s="139">
        <f t="shared" ref="AB552:AB562" si="34">SUM(C552:Z552)</f>
        <v>0</v>
      </c>
    </row>
    <row r="553" spans="1:28" x14ac:dyDescent="0.2">
      <c r="A553" s="127" t="str">
        <f>'Scenario List'!$A$14</f>
        <v>12- WA Space/ Water Electrification</v>
      </c>
      <c r="B553" s="128" t="s">
        <v>13</v>
      </c>
      <c r="D553" s="140">
        <v>0</v>
      </c>
      <c r="E553" s="140">
        <v>0.66473348291362344</v>
      </c>
      <c r="F553" s="140">
        <v>0.68964227723279592</v>
      </c>
      <c r="G553" s="140">
        <v>0.71589898207405445</v>
      </c>
      <c r="H553" s="140">
        <v>0.74474658163446983</v>
      </c>
      <c r="I553" s="140">
        <v>0.77630089828909576</v>
      </c>
      <c r="J553" s="140">
        <v>0.80410589762092999</v>
      </c>
      <c r="K553" s="140">
        <v>0.83083714578533907</v>
      </c>
      <c r="L553" s="140">
        <v>0.86470310660027006</v>
      </c>
      <c r="M553" s="140">
        <v>0.89748888614452094</v>
      </c>
      <c r="N553" s="140">
        <v>0.92585303260081708</v>
      </c>
      <c r="O553" s="140">
        <v>0.24928505126105219</v>
      </c>
      <c r="P553" s="140">
        <v>0.23576630906236271</v>
      </c>
      <c r="Q553" s="140">
        <v>0.2461216340369474</v>
      </c>
      <c r="R553" s="140">
        <v>0.26314374492236531</v>
      </c>
      <c r="S553" s="140">
        <v>0.27667692854983733</v>
      </c>
      <c r="T553" s="140">
        <v>0.29108044204191441</v>
      </c>
      <c r="U553" s="140">
        <v>0.19999999999999751</v>
      </c>
      <c r="V553" s="140">
        <v>0.21170791229816532</v>
      </c>
      <c r="W553" s="140">
        <v>0.3395298330261256</v>
      </c>
      <c r="X553" s="140">
        <v>0.35847958265321456</v>
      </c>
      <c r="Y553" s="140">
        <v>0.36461983784801266</v>
      </c>
      <c r="Z553" s="140">
        <v>0.40820217937664549</v>
      </c>
      <c r="AB553" s="139">
        <f t="shared" si="34"/>
        <v>11.358923745972557</v>
      </c>
    </row>
    <row r="554" spans="1:28" x14ac:dyDescent="0.2">
      <c r="A554" s="127" t="str">
        <f>'Scenario List'!$A$14</f>
        <v>12- WA Space/ Water Electrification</v>
      </c>
      <c r="B554" s="128" t="s">
        <v>14</v>
      </c>
      <c r="D554" s="140">
        <v>0</v>
      </c>
      <c r="E554" s="140">
        <v>0</v>
      </c>
      <c r="F554" s="140">
        <v>0</v>
      </c>
      <c r="G554" s="140">
        <v>0</v>
      </c>
      <c r="H554" s="140">
        <v>0</v>
      </c>
      <c r="I554" s="140">
        <v>0</v>
      </c>
      <c r="J554" s="140">
        <v>0</v>
      </c>
      <c r="K554" s="140">
        <v>0</v>
      </c>
      <c r="L554" s="140">
        <v>0</v>
      </c>
      <c r="M554" s="140">
        <v>0</v>
      </c>
      <c r="N554" s="140">
        <v>0</v>
      </c>
      <c r="O554" s="140">
        <v>0</v>
      </c>
      <c r="P554" s="140">
        <v>0</v>
      </c>
      <c r="Q554" s="140">
        <v>0</v>
      </c>
      <c r="R554" s="140">
        <v>0</v>
      </c>
      <c r="S554" s="140">
        <v>0</v>
      </c>
      <c r="T554" s="140">
        <v>0</v>
      </c>
      <c r="U554" s="140">
        <v>0.10000000000000009</v>
      </c>
      <c r="V554" s="140">
        <v>0.10092652270470095</v>
      </c>
      <c r="W554" s="140">
        <v>0</v>
      </c>
      <c r="X554" s="140">
        <v>0</v>
      </c>
      <c r="Y554" s="140">
        <v>0</v>
      </c>
      <c r="Z554" s="140">
        <v>0</v>
      </c>
      <c r="AB554" s="139">
        <f t="shared" si="34"/>
        <v>0.20092652270470104</v>
      </c>
    </row>
    <row r="555" spans="1:28" x14ac:dyDescent="0.2">
      <c r="A555" s="127" t="str">
        <f>'Scenario List'!$A$14</f>
        <v>12- WA Space/ Water Electrification</v>
      </c>
      <c r="B555" s="128" t="s">
        <v>15</v>
      </c>
      <c r="D555" s="140">
        <v>0</v>
      </c>
      <c r="E555" s="140">
        <v>0</v>
      </c>
      <c r="F555" s="140">
        <v>0</v>
      </c>
      <c r="G555" s="140">
        <v>0</v>
      </c>
      <c r="H555" s="140">
        <v>0</v>
      </c>
      <c r="I555" s="140">
        <v>0</v>
      </c>
      <c r="J555" s="140">
        <v>0</v>
      </c>
      <c r="K555" s="140">
        <v>200.00000000000011</v>
      </c>
      <c r="L555" s="140">
        <v>99.999999999999972</v>
      </c>
      <c r="M555" s="140">
        <v>200</v>
      </c>
      <c r="N555" s="140">
        <v>0</v>
      </c>
      <c r="O555" s="140">
        <v>0</v>
      </c>
      <c r="P555" s="140">
        <v>0</v>
      </c>
      <c r="Q555" s="140">
        <v>0</v>
      </c>
      <c r="R555" s="140">
        <v>0</v>
      </c>
      <c r="S555" s="140">
        <v>0</v>
      </c>
      <c r="T555" s="140">
        <v>0</v>
      </c>
      <c r="U555" s="140">
        <v>0</v>
      </c>
      <c r="V555" s="140">
        <v>140</v>
      </c>
      <c r="W555" s="140">
        <v>305.00000000000011</v>
      </c>
      <c r="X555" s="140">
        <v>200</v>
      </c>
      <c r="Y555" s="140">
        <v>200</v>
      </c>
      <c r="Z555" s="140">
        <v>199.9999999999998</v>
      </c>
      <c r="AB555" s="139">
        <f t="shared" si="34"/>
        <v>1545</v>
      </c>
    </row>
    <row r="556" spans="1:28" x14ac:dyDescent="0.2">
      <c r="A556" s="127" t="str">
        <f>'Scenario List'!$A$14</f>
        <v>12- WA Space/ Water Electrification</v>
      </c>
      <c r="B556" s="128" t="s">
        <v>16</v>
      </c>
      <c r="D556" s="140">
        <v>0</v>
      </c>
      <c r="E556" s="140">
        <v>0</v>
      </c>
      <c r="F556" s="140">
        <v>0</v>
      </c>
      <c r="G556" s="140">
        <v>0</v>
      </c>
      <c r="H556" s="140">
        <v>0</v>
      </c>
      <c r="I556" s="140">
        <v>0</v>
      </c>
      <c r="J556" s="140">
        <v>0</v>
      </c>
      <c r="K556" s="140">
        <v>0</v>
      </c>
      <c r="L556" s="140">
        <v>0</v>
      </c>
      <c r="M556" s="140">
        <v>249.33629562679616</v>
      </c>
      <c r="N556" s="140">
        <v>0</v>
      </c>
      <c r="O556" s="140">
        <v>0</v>
      </c>
      <c r="P556" s="140">
        <v>0</v>
      </c>
      <c r="Q556" s="140">
        <v>0</v>
      </c>
      <c r="R556" s="140">
        <v>0</v>
      </c>
      <c r="S556" s="140">
        <v>0</v>
      </c>
      <c r="T556" s="140">
        <v>108.15015156738748</v>
      </c>
      <c r="U556" s="140">
        <v>101.72408977591863</v>
      </c>
      <c r="V556" s="140">
        <v>115.61779253244111</v>
      </c>
      <c r="W556" s="140">
        <v>0</v>
      </c>
      <c r="X556" s="140">
        <v>79.70748891181313</v>
      </c>
      <c r="Y556" s="140">
        <v>75.341714792744483</v>
      </c>
      <c r="Z556" s="140">
        <v>172.92579379182058</v>
      </c>
      <c r="AB556" s="139">
        <f t="shared" si="34"/>
        <v>902.80332699892165</v>
      </c>
    </row>
    <row r="557" spans="1:28" x14ac:dyDescent="0.2">
      <c r="A557" s="127" t="str">
        <f>'Scenario List'!$A$14</f>
        <v>12- WA Space/ Water Electrification</v>
      </c>
      <c r="B557" s="128" t="s">
        <v>85</v>
      </c>
      <c r="D557" s="140">
        <v>0</v>
      </c>
      <c r="E557" s="140">
        <v>0</v>
      </c>
      <c r="F557" s="140">
        <v>0</v>
      </c>
      <c r="G557" s="140">
        <v>0</v>
      </c>
      <c r="H557" s="140">
        <v>0</v>
      </c>
      <c r="I557" s="140">
        <v>0</v>
      </c>
      <c r="J557" s="140">
        <v>0</v>
      </c>
      <c r="K557" s="140">
        <v>0</v>
      </c>
      <c r="L557" s="140">
        <v>0</v>
      </c>
      <c r="M557" s="140">
        <v>0</v>
      </c>
      <c r="N557" s="140">
        <v>0</v>
      </c>
      <c r="O557" s="140">
        <v>0</v>
      </c>
      <c r="P557" s="140">
        <v>101.40196809060481</v>
      </c>
      <c r="Q557" s="140">
        <v>154.42040531161646</v>
      </c>
      <c r="R557" s="140">
        <v>99.806770470461942</v>
      </c>
      <c r="S557" s="140">
        <v>107.74436579019513</v>
      </c>
      <c r="T557" s="140">
        <v>0</v>
      </c>
      <c r="U557" s="140">
        <v>0</v>
      </c>
      <c r="V557" s="140">
        <v>0</v>
      </c>
      <c r="W557" s="140">
        <v>269.37239807398021</v>
      </c>
      <c r="X557" s="140">
        <v>0</v>
      </c>
      <c r="Y557" s="140">
        <v>0</v>
      </c>
      <c r="Z557" s="140">
        <v>157.50894076618778</v>
      </c>
      <c r="AB557" s="139">
        <f t="shared" si="34"/>
        <v>890.25484850304633</v>
      </c>
    </row>
    <row r="558" spans="1:28" x14ac:dyDescent="0.2">
      <c r="A558" s="127" t="str">
        <f>'Scenario List'!$A$14</f>
        <v>12- WA Space/ Water Electrification</v>
      </c>
      <c r="B558" s="128" t="s">
        <v>86</v>
      </c>
      <c r="D558" s="140">
        <v>0</v>
      </c>
      <c r="E558" s="140">
        <v>0</v>
      </c>
      <c r="F558" s="140">
        <v>0</v>
      </c>
      <c r="G558" s="140">
        <v>0</v>
      </c>
      <c r="H558" s="140">
        <v>0</v>
      </c>
      <c r="I558" s="140">
        <v>0</v>
      </c>
      <c r="J558" s="140">
        <v>0</v>
      </c>
      <c r="K558" s="140">
        <v>0</v>
      </c>
      <c r="L558" s="140">
        <v>20</v>
      </c>
      <c r="M558" s="140">
        <v>20</v>
      </c>
      <c r="N558" s="140">
        <v>0</v>
      </c>
      <c r="O558" s="140">
        <v>0</v>
      </c>
      <c r="P558" s="140">
        <v>0</v>
      </c>
      <c r="Q558" s="140">
        <v>0</v>
      </c>
      <c r="R558" s="140">
        <v>0</v>
      </c>
      <c r="S558" s="140">
        <v>0</v>
      </c>
      <c r="T558" s="140">
        <v>0</v>
      </c>
      <c r="U558" s="140">
        <v>0</v>
      </c>
      <c r="V558" s="140">
        <v>0</v>
      </c>
      <c r="W558" s="140">
        <v>0</v>
      </c>
      <c r="X558" s="140">
        <v>0</v>
      </c>
      <c r="Y558" s="140">
        <v>0</v>
      </c>
      <c r="Z558" s="140">
        <v>57.6</v>
      </c>
      <c r="AB558" s="139">
        <f t="shared" si="34"/>
        <v>97.6</v>
      </c>
    </row>
    <row r="559" spans="1:28" x14ac:dyDescent="0.2">
      <c r="A559" s="127" t="str">
        <f>'Scenario List'!$A$14</f>
        <v>12- WA Space/ Water Electrification</v>
      </c>
      <c r="B559" s="128" t="s">
        <v>87</v>
      </c>
      <c r="D559" s="140">
        <v>0</v>
      </c>
      <c r="E559" s="140">
        <v>0</v>
      </c>
      <c r="F559" s="140">
        <v>0</v>
      </c>
      <c r="G559" s="140">
        <v>0</v>
      </c>
      <c r="H559" s="140">
        <v>0</v>
      </c>
      <c r="I559" s="140">
        <v>0</v>
      </c>
      <c r="J559" s="140">
        <v>0</v>
      </c>
      <c r="K559" s="140">
        <v>0</v>
      </c>
      <c r="L559" s="140">
        <v>0</v>
      </c>
      <c r="M559" s="140">
        <v>0</v>
      </c>
      <c r="N559" s="140">
        <v>0</v>
      </c>
      <c r="O559" s="140">
        <v>0</v>
      </c>
      <c r="P559" s="140">
        <v>0</v>
      </c>
      <c r="Q559" s="140">
        <v>0</v>
      </c>
      <c r="R559" s="140">
        <v>0</v>
      </c>
      <c r="S559" s="140">
        <v>0</v>
      </c>
      <c r="T559" s="140">
        <v>0</v>
      </c>
      <c r="U559" s="140">
        <v>0</v>
      </c>
      <c r="V559" s="140">
        <v>0</v>
      </c>
      <c r="W559" s="140">
        <v>0</v>
      </c>
      <c r="X559" s="140">
        <v>0</v>
      </c>
      <c r="Y559" s="140">
        <v>0</v>
      </c>
      <c r="Z559" s="140">
        <v>0</v>
      </c>
      <c r="AB559" s="139">
        <f t="shared" si="34"/>
        <v>0</v>
      </c>
    </row>
    <row r="560" spans="1:28" x14ac:dyDescent="0.2">
      <c r="A560" s="127" t="str">
        <f>'Scenario List'!$A$14</f>
        <v>12- WA Space/ Water Electrification</v>
      </c>
      <c r="B560" s="128" t="s">
        <v>17</v>
      </c>
      <c r="D560" s="140">
        <v>0</v>
      </c>
      <c r="E560" s="140">
        <v>0</v>
      </c>
      <c r="F560" s="140">
        <v>6.7666466459931875</v>
      </c>
      <c r="G560" s="140">
        <v>0</v>
      </c>
      <c r="H560" s="140">
        <v>0</v>
      </c>
      <c r="I560" s="140">
        <v>0</v>
      </c>
      <c r="J560" s="140">
        <v>0</v>
      </c>
      <c r="K560" s="140">
        <v>0</v>
      </c>
      <c r="L560" s="140">
        <v>0</v>
      </c>
      <c r="M560" s="140">
        <v>0</v>
      </c>
      <c r="N560" s="140">
        <v>0</v>
      </c>
      <c r="O560" s="140">
        <v>0</v>
      </c>
      <c r="P560" s="140">
        <v>0</v>
      </c>
      <c r="Q560" s="140">
        <v>0</v>
      </c>
      <c r="R560" s="140">
        <v>0</v>
      </c>
      <c r="S560" s="140">
        <v>0</v>
      </c>
      <c r="T560" s="140">
        <v>0</v>
      </c>
      <c r="U560" s="140">
        <v>0</v>
      </c>
      <c r="V560" s="140">
        <v>0</v>
      </c>
      <c r="W560" s="140">
        <v>0</v>
      </c>
      <c r="X560" s="140">
        <v>0</v>
      </c>
      <c r="Y560" s="140">
        <v>0</v>
      </c>
      <c r="Z560" s="140">
        <v>0</v>
      </c>
      <c r="AB560" s="139">
        <f t="shared" si="34"/>
        <v>6.7666466459931875</v>
      </c>
    </row>
    <row r="561" spans="1:28" x14ac:dyDescent="0.2">
      <c r="A561" s="127" t="str">
        <f>'Scenario List'!$A$14</f>
        <v>12- WA Space/ Water Electrification</v>
      </c>
      <c r="B561" s="128" t="s">
        <v>18</v>
      </c>
      <c r="D561" s="140">
        <v>1.4945063452523641</v>
      </c>
      <c r="E561" s="140">
        <v>1.8683341877238522</v>
      </c>
      <c r="F561" s="140">
        <v>2.1107330735705601</v>
      </c>
      <c r="G561" s="140">
        <v>2.4917933125160134</v>
      </c>
      <c r="H561" s="140">
        <v>2.6714141185266289</v>
      </c>
      <c r="I561" s="140">
        <v>2.8444897156206039</v>
      </c>
      <c r="J561" s="140">
        <v>2.8610812832476107</v>
      </c>
      <c r="K561" s="140">
        <v>2.7366460092442964</v>
      </c>
      <c r="L561" s="140">
        <v>3.1302175725611363</v>
      </c>
      <c r="M561" s="140">
        <v>3.304514293214126</v>
      </c>
      <c r="N561" s="140">
        <v>3.1830955628245725</v>
      </c>
      <c r="O561" s="140">
        <v>3.2610158214834399</v>
      </c>
      <c r="P561" s="140">
        <v>3.2051560737615326</v>
      </c>
      <c r="Q561" s="140">
        <v>3.2455872057607635</v>
      </c>
      <c r="R561" s="140">
        <v>2.9191362681778017</v>
      </c>
      <c r="S561" s="140">
        <v>2.6158757197226379</v>
      </c>
      <c r="T561" s="140">
        <v>2.5047570113474151</v>
      </c>
      <c r="U561" s="140">
        <v>2.5135647410511623</v>
      </c>
      <c r="V561" s="140">
        <v>2.2289854316045989</v>
      </c>
      <c r="W561" s="140">
        <v>2.2993765497295584</v>
      </c>
      <c r="X561" s="140">
        <v>1.4108602607062792</v>
      </c>
      <c r="Y561" s="140">
        <v>1.6230917323203897</v>
      </c>
      <c r="Z561" s="140">
        <v>0.90782427604391813</v>
      </c>
      <c r="AB561" s="139">
        <f t="shared" si="34"/>
        <v>57.432056566011262</v>
      </c>
    </row>
    <row r="562" spans="1:28" x14ac:dyDescent="0.2">
      <c r="A562" s="127" t="str">
        <f>'Scenario List'!$A$14</f>
        <v>12- WA Space/ Water Electrification</v>
      </c>
      <c r="B562" s="128" t="s">
        <v>19</v>
      </c>
      <c r="D562" s="140">
        <v>1.4006369138593613</v>
      </c>
      <c r="E562" s="140">
        <v>1.7824893936907589</v>
      </c>
      <c r="F562" s="140">
        <v>2.0565223647991893</v>
      </c>
      <c r="G562" s="140">
        <v>2.4949522986191237</v>
      </c>
      <c r="H562" s="140">
        <v>2.7331858364971815</v>
      </c>
      <c r="I562" s="140">
        <v>2.9617337230317986</v>
      </c>
      <c r="J562" s="140">
        <v>3.026532493932649</v>
      </c>
      <c r="K562" s="140">
        <v>2.9565066079564595</v>
      </c>
      <c r="L562" s="140">
        <v>3.3731807426032354</v>
      </c>
      <c r="M562" s="140">
        <v>3.6210590062319739</v>
      </c>
      <c r="N562" s="140">
        <v>3.5396305930069936</v>
      </c>
      <c r="O562" s="140">
        <v>3.6152533325056204</v>
      </c>
      <c r="P562" s="140">
        <v>3.5280557777758617</v>
      </c>
      <c r="Q562" s="140">
        <v>3.5176379796862207</v>
      </c>
      <c r="R562" s="140">
        <v>3.1134388723668494</v>
      </c>
      <c r="S562" s="140">
        <v>2.6929503754938651</v>
      </c>
      <c r="T562" s="140">
        <v>2.5557019748983194</v>
      </c>
      <c r="U562" s="140">
        <v>2.4931406456890883</v>
      </c>
      <c r="V562" s="140">
        <v>2.1186609361079505</v>
      </c>
      <c r="W562" s="140">
        <v>2.1810757541646453</v>
      </c>
      <c r="X562" s="140">
        <v>1.3748199314908476</v>
      </c>
      <c r="Y562" s="140">
        <v>1.573173951166126</v>
      </c>
      <c r="Z562" s="140">
        <v>0.88791774273104807</v>
      </c>
      <c r="AB562" s="139">
        <f t="shared" si="34"/>
        <v>59.598257248305167</v>
      </c>
    </row>
    <row r="563" spans="1:28" x14ac:dyDescent="0.2">
      <c r="A563" s="127" t="str">
        <f>'Scenario List'!$A$14</f>
        <v>12- WA Space/ Water Electrification</v>
      </c>
      <c r="B563" s="128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  <c r="AB563" s="139"/>
    </row>
    <row r="564" spans="1:28" x14ac:dyDescent="0.2">
      <c r="A564" s="127" t="str">
        <f>'Scenario List'!$A$14</f>
        <v>12- WA Space/ Water Electrification</v>
      </c>
      <c r="B564" s="132" t="s">
        <v>8</v>
      </c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  <c r="AB564" s="139"/>
    </row>
    <row r="565" spans="1:28" x14ac:dyDescent="0.2">
      <c r="A565" s="127" t="str">
        <f>'Scenario List'!$A$14</f>
        <v>12- WA Space/ Water Electrification</v>
      </c>
      <c r="B565" s="128" t="s">
        <v>12</v>
      </c>
      <c r="D565" s="140">
        <v>0</v>
      </c>
      <c r="E565" s="140">
        <v>0</v>
      </c>
      <c r="F565" s="140">
        <v>0</v>
      </c>
      <c r="G565" s="140">
        <v>0</v>
      </c>
      <c r="H565" s="140">
        <v>0</v>
      </c>
      <c r="I565" s="140">
        <v>0</v>
      </c>
      <c r="J565" s="140">
        <v>0</v>
      </c>
      <c r="K565" s="140">
        <v>0</v>
      </c>
      <c r="L565" s="140">
        <v>0</v>
      </c>
      <c r="M565" s="140">
        <v>0</v>
      </c>
      <c r="N565" s="140">
        <v>0</v>
      </c>
      <c r="O565" s="140">
        <v>90.26699033712157</v>
      </c>
      <c r="P565" s="140">
        <v>0</v>
      </c>
      <c r="Q565" s="140">
        <v>0</v>
      </c>
      <c r="R565" s="140">
        <v>0</v>
      </c>
      <c r="S565" s="140">
        <v>0</v>
      </c>
      <c r="T565" s="140">
        <v>0</v>
      </c>
      <c r="U565" s="140">
        <v>0</v>
      </c>
      <c r="V565" s="140">
        <v>46.359500000000025</v>
      </c>
      <c r="W565" s="140">
        <v>130.62760192601996</v>
      </c>
      <c r="X565" s="140">
        <v>0</v>
      </c>
      <c r="Y565" s="140">
        <v>0</v>
      </c>
      <c r="Z565" s="140">
        <v>0</v>
      </c>
      <c r="AB565" s="139">
        <f t="shared" ref="AB565:AB575" si="35">SUM(C565:Z565)</f>
        <v>267.25409226314156</v>
      </c>
    </row>
    <row r="566" spans="1:28" x14ac:dyDescent="0.2">
      <c r="A566" s="127" t="str">
        <f>'Scenario List'!$A$14</f>
        <v>12- WA Space/ Water Electrification</v>
      </c>
      <c r="B566" s="128" t="s">
        <v>13</v>
      </c>
      <c r="D566" s="140">
        <v>0</v>
      </c>
      <c r="E566" s="140">
        <v>0</v>
      </c>
      <c r="F566" s="140">
        <v>0</v>
      </c>
      <c r="G566" s="140">
        <v>0</v>
      </c>
      <c r="H566" s="140">
        <v>0</v>
      </c>
      <c r="I566" s="140">
        <v>0</v>
      </c>
      <c r="J566" s="140">
        <v>0</v>
      </c>
      <c r="K566" s="140">
        <v>0</v>
      </c>
      <c r="L566" s="140">
        <v>0</v>
      </c>
      <c r="M566" s="140">
        <v>0</v>
      </c>
      <c r="N566" s="140">
        <v>0</v>
      </c>
      <c r="O566" s="140">
        <v>0</v>
      </c>
      <c r="P566" s="140">
        <v>0</v>
      </c>
      <c r="Q566" s="140">
        <v>0</v>
      </c>
      <c r="R566" s="140">
        <v>0</v>
      </c>
      <c r="S566" s="140">
        <v>0</v>
      </c>
      <c r="T566" s="140">
        <v>0</v>
      </c>
      <c r="U566" s="140">
        <v>0</v>
      </c>
      <c r="V566" s="140">
        <v>0</v>
      </c>
      <c r="W566" s="140">
        <v>0</v>
      </c>
      <c r="X566" s="140">
        <v>0</v>
      </c>
      <c r="Y566" s="140">
        <v>0</v>
      </c>
      <c r="Z566" s="140">
        <v>0</v>
      </c>
      <c r="AB566" s="139">
        <f t="shared" si="35"/>
        <v>0</v>
      </c>
    </row>
    <row r="567" spans="1:28" x14ac:dyDescent="0.2">
      <c r="A567" s="127" t="str">
        <f>'Scenario List'!$A$14</f>
        <v>12- WA Space/ Water Electrification</v>
      </c>
      <c r="B567" s="128" t="s">
        <v>14</v>
      </c>
      <c r="D567" s="140">
        <v>0</v>
      </c>
      <c r="E567" s="140">
        <v>0</v>
      </c>
      <c r="F567" s="140">
        <v>0</v>
      </c>
      <c r="G567" s="140">
        <v>0</v>
      </c>
      <c r="H567" s="140">
        <v>0</v>
      </c>
      <c r="I567" s="140">
        <v>0</v>
      </c>
      <c r="J567" s="140">
        <v>0</v>
      </c>
      <c r="K567" s="140">
        <v>0</v>
      </c>
      <c r="L567" s="140">
        <v>0</v>
      </c>
      <c r="M567" s="140">
        <v>0</v>
      </c>
      <c r="N567" s="140">
        <v>0</v>
      </c>
      <c r="O567" s="140">
        <v>0</v>
      </c>
      <c r="P567" s="140">
        <v>0</v>
      </c>
      <c r="Q567" s="140">
        <v>0</v>
      </c>
      <c r="R567" s="140">
        <v>0</v>
      </c>
      <c r="S567" s="140">
        <v>0</v>
      </c>
      <c r="T567" s="140">
        <v>0</v>
      </c>
      <c r="U567" s="140">
        <v>0</v>
      </c>
      <c r="V567" s="140">
        <v>0</v>
      </c>
      <c r="W567" s="140">
        <v>0</v>
      </c>
      <c r="X567" s="140">
        <v>0</v>
      </c>
      <c r="Y567" s="140">
        <v>0</v>
      </c>
      <c r="Z567" s="140">
        <v>0</v>
      </c>
      <c r="AB567" s="139">
        <f t="shared" si="35"/>
        <v>0</v>
      </c>
    </row>
    <row r="568" spans="1:28" x14ac:dyDescent="0.2">
      <c r="A568" s="127" t="str">
        <f>'Scenario List'!$A$14</f>
        <v>12- WA Space/ Water Electrification</v>
      </c>
      <c r="B568" s="128" t="s">
        <v>15</v>
      </c>
      <c r="D568" s="140">
        <v>0</v>
      </c>
      <c r="E568" s="140">
        <v>0</v>
      </c>
      <c r="F568" s="140">
        <v>0</v>
      </c>
      <c r="G568" s="140">
        <v>0</v>
      </c>
      <c r="H568" s="140">
        <v>0</v>
      </c>
      <c r="I568" s="140">
        <v>0</v>
      </c>
      <c r="J568" s="140">
        <v>0</v>
      </c>
      <c r="K568" s="140">
        <v>0</v>
      </c>
      <c r="L568" s="140">
        <v>0</v>
      </c>
      <c r="M568" s="140">
        <v>0</v>
      </c>
      <c r="N568" s="140">
        <v>0</v>
      </c>
      <c r="O568" s="140">
        <v>0</v>
      </c>
      <c r="P568" s="140">
        <v>0</v>
      </c>
      <c r="Q568" s="140">
        <v>0</v>
      </c>
      <c r="R568" s="140">
        <v>0</v>
      </c>
      <c r="S568" s="140">
        <v>0</v>
      </c>
      <c r="T568" s="140">
        <v>0</v>
      </c>
      <c r="U568" s="140">
        <v>0</v>
      </c>
      <c r="V568" s="140">
        <v>0</v>
      </c>
      <c r="W568" s="140">
        <v>0</v>
      </c>
      <c r="X568" s="140">
        <v>0</v>
      </c>
      <c r="Y568" s="140">
        <v>0</v>
      </c>
      <c r="Z568" s="140">
        <v>0</v>
      </c>
      <c r="AB568" s="139">
        <f t="shared" si="35"/>
        <v>0</v>
      </c>
    </row>
    <row r="569" spans="1:28" x14ac:dyDescent="0.2">
      <c r="A569" s="127" t="str">
        <f>'Scenario List'!$A$14</f>
        <v>12- WA Space/ Water Electrification</v>
      </c>
      <c r="B569" s="128" t="s">
        <v>16</v>
      </c>
      <c r="D569" s="140">
        <v>0</v>
      </c>
      <c r="E569" s="140">
        <v>0</v>
      </c>
      <c r="F569" s="140">
        <v>0</v>
      </c>
      <c r="G569" s="140">
        <v>0</v>
      </c>
      <c r="H569" s="140">
        <v>0</v>
      </c>
      <c r="I569" s="140">
        <v>0</v>
      </c>
      <c r="J569" s="140">
        <v>0</v>
      </c>
      <c r="K569" s="140">
        <v>0</v>
      </c>
      <c r="L569" s="140">
        <v>0</v>
      </c>
      <c r="M569" s="140">
        <v>0</v>
      </c>
      <c r="N569" s="140">
        <v>0</v>
      </c>
      <c r="O569" s="140">
        <v>0</v>
      </c>
      <c r="P569" s="140">
        <v>0</v>
      </c>
      <c r="Q569" s="140">
        <v>0</v>
      </c>
      <c r="R569" s="140">
        <v>0</v>
      </c>
      <c r="S569" s="140">
        <v>0</v>
      </c>
      <c r="T569" s="140">
        <v>0</v>
      </c>
      <c r="U569" s="140">
        <v>0</v>
      </c>
      <c r="V569" s="140">
        <v>0</v>
      </c>
      <c r="W569" s="140">
        <v>0</v>
      </c>
      <c r="X569" s="140">
        <v>0</v>
      </c>
      <c r="Y569" s="140">
        <v>36.894573833198898</v>
      </c>
      <c r="Z569" s="140">
        <v>80.119176849401555</v>
      </c>
      <c r="AB569" s="139">
        <f t="shared" si="35"/>
        <v>117.01375068260046</v>
      </c>
    </row>
    <row r="570" spans="1:28" x14ac:dyDescent="0.2">
      <c r="A570" s="127" t="str">
        <f>'Scenario List'!$A$14</f>
        <v>12- WA Space/ Water Electrification</v>
      </c>
      <c r="B570" s="128" t="s">
        <v>85</v>
      </c>
      <c r="D570" s="140">
        <v>0</v>
      </c>
      <c r="E570" s="140">
        <v>0</v>
      </c>
      <c r="F570" s="140">
        <v>0</v>
      </c>
      <c r="G570" s="140">
        <v>0</v>
      </c>
      <c r="H570" s="140">
        <v>0</v>
      </c>
      <c r="I570" s="140">
        <v>0</v>
      </c>
      <c r="J570" s="140">
        <v>0</v>
      </c>
      <c r="K570" s="140">
        <v>0</v>
      </c>
      <c r="L570" s="140">
        <v>0</v>
      </c>
      <c r="M570" s="140">
        <v>0</v>
      </c>
      <c r="N570" s="140">
        <v>0</v>
      </c>
      <c r="O570" s="140">
        <v>0</v>
      </c>
      <c r="P570" s="140">
        <v>0</v>
      </c>
      <c r="Q570" s="140">
        <v>0</v>
      </c>
      <c r="R570" s="140">
        <v>0</v>
      </c>
      <c r="S570" s="140">
        <v>0</v>
      </c>
      <c r="T570" s="140">
        <v>0</v>
      </c>
      <c r="U570" s="140">
        <v>0</v>
      </c>
      <c r="V570" s="140">
        <v>0</v>
      </c>
      <c r="W570" s="140">
        <v>0</v>
      </c>
      <c r="X570" s="140">
        <v>0</v>
      </c>
      <c r="Y570" s="140">
        <v>0</v>
      </c>
      <c r="Z570" s="140">
        <v>0</v>
      </c>
      <c r="AB570" s="139">
        <f t="shared" si="35"/>
        <v>0</v>
      </c>
    </row>
    <row r="571" spans="1:28" x14ac:dyDescent="0.2">
      <c r="A571" s="127" t="str">
        <f>'Scenario List'!$A$14</f>
        <v>12- WA Space/ Water Electrification</v>
      </c>
      <c r="B571" s="128" t="s">
        <v>86</v>
      </c>
      <c r="D571" s="140">
        <v>0</v>
      </c>
      <c r="E571" s="140">
        <v>0</v>
      </c>
      <c r="F571" s="140">
        <v>0</v>
      </c>
      <c r="G571" s="140">
        <v>0</v>
      </c>
      <c r="H571" s="140">
        <v>0</v>
      </c>
      <c r="I571" s="140">
        <v>0</v>
      </c>
      <c r="J571" s="140">
        <v>0</v>
      </c>
      <c r="K571" s="140">
        <v>0</v>
      </c>
      <c r="L571" s="140">
        <v>0</v>
      </c>
      <c r="M571" s="140">
        <v>0</v>
      </c>
      <c r="N571" s="140">
        <v>0</v>
      </c>
      <c r="O571" s="140">
        <v>0</v>
      </c>
      <c r="P571" s="140">
        <v>0</v>
      </c>
      <c r="Q571" s="140">
        <v>0</v>
      </c>
      <c r="R571" s="140">
        <v>0</v>
      </c>
      <c r="S571" s="140">
        <v>0</v>
      </c>
      <c r="T571" s="140">
        <v>0</v>
      </c>
      <c r="U571" s="140">
        <v>0</v>
      </c>
      <c r="V571" s="140">
        <v>0</v>
      </c>
      <c r="W571" s="140">
        <v>0</v>
      </c>
      <c r="X571" s="140">
        <v>0</v>
      </c>
      <c r="Y571" s="140">
        <v>0</v>
      </c>
      <c r="Z571" s="140">
        <v>0</v>
      </c>
      <c r="AB571" s="139">
        <f t="shared" si="35"/>
        <v>0</v>
      </c>
    </row>
    <row r="572" spans="1:28" x14ac:dyDescent="0.2">
      <c r="A572" s="127" t="str">
        <f>'Scenario List'!$A$14</f>
        <v>12- WA Space/ Water Electrification</v>
      </c>
      <c r="B572" s="128" t="s">
        <v>87</v>
      </c>
      <c r="D572" s="140">
        <v>0</v>
      </c>
      <c r="E572" s="140">
        <v>0</v>
      </c>
      <c r="F572" s="140">
        <v>0</v>
      </c>
      <c r="G572" s="140">
        <v>0</v>
      </c>
      <c r="H572" s="140">
        <v>0</v>
      </c>
      <c r="I572" s="140">
        <v>0</v>
      </c>
      <c r="J572" s="140">
        <v>0</v>
      </c>
      <c r="K572" s="140">
        <v>0</v>
      </c>
      <c r="L572" s="140">
        <v>0</v>
      </c>
      <c r="M572" s="140">
        <v>0</v>
      </c>
      <c r="N572" s="140">
        <v>0</v>
      </c>
      <c r="O572" s="140">
        <v>0</v>
      </c>
      <c r="P572" s="140">
        <v>0</v>
      </c>
      <c r="Q572" s="140">
        <v>0</v>
      </c>
      <c r="R572" s="140">
        <v>0</v>
      </c>
      <c r="S572" s="140">
        <v>0</v>
      </c>
      <c r="T572" s="140">
        <v>0</v>
      </c>
      <c r="U572" s="140">
        <v>0</v>
      </c>
      <c r="V572" s="140">
        <v>0</v>
      </c>
      <c r="W572" s="140">
        <v>0</v>
      </c>
      <c r="X572" s="140">
        <v>0</v>
      </c>
      <c r="Y572" s="140">
        <v>0</v>
      </c>
      <c r="Z572" s="140">
        <v>0</v>
      </c>
      <c r="AB572" s="139">
        <f t="shared" si="35"/>
        <v>0</v>
      </c>
    </row>
    <row r="573" spans="1:28" x14ac:dyDescent="0.2">
      <c r="A573" s="127" t="str">
        <f>'Scenario List'!$A$14</f>
        <v>12- WA Space/ Water Electrification</v>
      </c>
      <c r="B573" s="128" t="s">
        <v>17</v>
      </c>
      <c r="D573" s="140">
        <v>0</v>
      </c>
      <c r="E573" s="140">
        <v>0</v>
      </c>
      <c r="F573" s="140">
        <v>0</v>
      </c>
      <c r="G573" s="140">
        <v>0</v>
      </c>
      <c r="H573" s="140">
        <v>0</v>
      </c>
      <c r="I573" s="140">
        <v>0</v>
      </c>
      <c r="J573" s="140">
        <v>0</v>
      </c>
      <c r="K573" s="140">
        <v>0</v>
      </c>
      <c r="L573" s="140">
        <v>0</v>
      </c>
      <c r="M573" s="140">
        <v>0</v>
      </c>
      <c r="N573" s="140">
        <v>0</v>
      </c>
      <c r="O573" s="140">
        <v>0</v>
      </c>
      <c r="P573" s="140">
        <v>0</v>
      </c>
      <c r="Q573" s="140">
        <v>0</v>
      </c>
      <c r="R573" s="140">
        <v>0</v>
      </c>
      <c r="S573" s="140">
        <v>0</v>
      </c>
      <c r="T573" s="140">
        <v>0</v>
      </c>
      <c r="U573" s="140">
        <v>0</v>
      </c>
      <c r="V573" s="140">
        <v>0</v>
      </c>
      <c r="W573" s="140">
        <v>0</v>
      </c>
      <c r="X573" s="140">
        <v>0</v>
      </c>
      <c r="Y573" s="140">
        <v>0</v>
      </c>
      <c r="Z573" s="140">
        <v>0</v>
      </c>
      <c r="AB573" s="139">
        <f t="shared" si="35"/>
        <v>0</v>
      </c>
    </row>
    <row r="574" spans="1:28" x14ac:dyDescent="0.2">
      <c r="A574" s="127" t="str">
        <f>'Scenario List'!$A$14</f>
        <v>12- WA Space/ Water Electrification</v>
      </c>
      <c r="B574" s="128" t="s">
        <v>18</v>
      </c>
      <c r="D574" s="140">
        <v>0.67099908680744658</v>
      </c>
      <c r="E574" s="140">
        <v>0.82305451622647074</v>
      </c>
      <c r="F574" s="140">
        <v>0.94848824049578417</v>
      </c>
      <c r="G574" s="140">
        <v>1.1022720899312453</v>
      </c>
      <c r="H574" s="140">
        <v>1.1849913929752369</v>
      </c>
      <c r="I574" s="140">
        <v>1.2536785764488867</v>
      </c>
      <c r="J574" s="140">
        <v>1.2458174367488022</v>
      </c>
      <c r="K574" s="140">
        <v>1.2244280898412629</v>
      </c>
      <c r="L574" s="140">
        <v>1.3362709507913095</v>
      </c>
      <c r="M574" s="140">
        <v>1.3938574191603532</v>
      </c>
      <c r="N574" s="140">
        <v>1.317075967446188</v>
      </c>
      <c r="O574" s="140">
        <v>1.3463892496630709</v>
      </c>
      <c r="P574" s="140">
        <v>1.3106210608754782</v>
      </c>
      <c r="Q574" s="140">
        <v>1.3217026965498988</v>
      </c>
      <c r="R574" s="140">
        <v>1.183574424352102</v>
      </c>
      <c r="S574" s="140">
        <v>1.0437328876910641</v>
      </c>
      <c r="T574" s="140">
        <v>1.003271217022256</v>
      </c>
      <c r="U574" s="140">
        <v>1.008860416414656</v>
      </c>
      <c r="V574" s="140">
        <v>0.86831058654665583</v>
      </c>
      <c r="W574" s="140">
        <v>0.91741129157204071</v>
      </c>
      <c r="X574" s="140">
        <v>0.50795474799624785</v>
      </c>
      <c r="Y574" s="140">
        <v>0.5697145389572178</v>
      </c>
      <c r="Z574" s="140">
        <v>0.34661298895673909</v>
      </c>
      <c r="AB574" s="139">
        <f>SUM(C574:Z574)</f>
        <v>23.929089873470414</v>
      </c>
    </row>
    <row r="575" spans="1:28" x14ac:dyDescent="0.2">
      <c r="A575" s="127" t="str">
        <f>'Scenario List'!$A$14</f>
        <v>12- WA Space/ Water Electrification</v>
      </c>
      <c r="B575" s="128" t="s">
        <v>19</v>
      </c>
      <c r="D575" s="140">
        <v>0.6201002206159647</v>
      </c>
      <c r="E575" s="140">
        <v>0.7785140473164105</v>
      </c>
      <c r="F575" s="140">
        <v>0.91635641318392924</v>
      </c>
      <c r="G575" s="140">
        <v>1.0930873827206273</v>
      </c>
      <c r="H575" s="140">
        <v>1.1971774841515339</v>
      </c>
      <c r="I575" s="140">
        <v>1.2885083532952466</v>
      </c>
      <c r="J575" s="140">
        <v>1.3005490064142675</v>
      </c>
      <c r="K575" s="140">
        <v>1.2965657377370103</v>
      </c>
      <c r="L575" s="140">
        <v>1.4186195084929984</v>
      </c>
      <c r="M575" s="140">
        <v>1.4952269005197554</v>
      </c>
      <c r="N575" s="140">
        <v>1.4291517712282271</v>
      </c>
      <c r="O575" s="140">
        <v>1.4579958054055648</v>
      </c>
      <c r="P575" s="140">
        <v>1.4063976840962233</v>
      </c>
      <c r="Q575" s="140">
        <v>1.396949791368197</v>
      </c>
      <c r="R575" s="140">
        <v>1.2277660385916143</v>
      </c>
      <c r="S575" s="140">
        <v>1.0646088921563077</v>
      </c>
      <c r="T575" s="140">
        <v>1.0217624041872675</v>
      </c>
      <c r="U575" s="140">
        <v>0.99649891545661617</v>
      </c>
      <c r="V575" s="140">
        <v>0.82940583447251726</v>
      </c>
      <c r="W575" s="140">
        <v>0.86495819825620757</v>
      </c>
      <c r="X575" s="140">
        <v>0.49286881774794011</v>
      </c>
      <c r="Y575" s="140">
        <v>0.55837932372782362</v>
      </c>
      <c r="Z575" s="140">
        <v>0.33615054668695521</v>
      </c>
      <c r="AB575" s="139">
        <f t="shared" si="35"/>
        <v>24.487599077829206</v>
      </c>
    </row>
    <row r="576" spans="1:28" x14ac:dyDescent="0.2">
      <c r="A576" s="127" t="str">
        <f>'Scenario List'!$A$14</f>
        <v>12- WA Space/ Water Electrification</v>
      </c>
      <c r="B576" s="128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  <c r="AB576" s="139"/>
    </row>
    <row r="577" spans="1:28" x14ac:dyDescent="0.2">
      <c r="A577" s="127" t="str">
        <f>'Scenario List'!$A$14</f>
        <v>12- WA Space/ Water Electrification</v>
      </c>
      <c r="B577" s="131" t="s">
        <v>31</v>
      </c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  <c r="AB577" s="139"/>
    </row>
    <row r="578" spans="1:28" x14ac:dyDescent="0.2">
      <c r="A578" s="127" t="str">
        <f>'Scenario List'!$A$14</f>
        <v>12- WA Space/ Water Electrification</v>
      </c>
      <c r="B578" s="128" t="s">
        <v>1</v>
      </c>
      <c r="D578" s="140">
        <v>20.752213769923699</v>
      </c>
      <c r="E578" s="140">
        <v>45.273609663330966</v>
      </c>
      <c r="F578" s="140">
        <v>73.415742361898126</v>
      </c>
      <c r="G578" s="140">
        <v>103.89840810921751</v>
      </c>
      <c r="H578" s="140">
        <v>137.31391416135452</v>
      </c>
      <c r="I578" s="140">
        <v>173.8476377444666</v>
      </c>
      <c r="J578" s="140">
        <v>212.30098909033248</v>
      </c>
      <c r="K578" s="140">
        <v>249.91654150354006</v>
      </c>
      <c r="L578" s="140">
        <v>287.78446217663077</v>
      </c>
      <c r="M578" s="140">
        <v>324.02342866939483</v>
      </c>
      <c r="N578" s="140">
        <v>356.59285124129474</v>
      </c>
      <c r="O578" s="140">
        <v>385.72543875879398</v>
      </c>
      <c r="P578" s="140">
        <v>411.6532129069538</v>
      </c>
      <c r="Q578" s="140">
        <v>434.82905889745405</v>
      </c>
      <c r="R578" s="140">
        <v>455.6575233154386</v>
      </c>
      <c r="S578" s="140">
        <v>472.3154525343997</v>
      </c>
      <c r="T578" s="140">
        <v>487.41130967889751</v>
      </c>
      <c r="U578" s="140">
        <v>500.76484976387894</v>
      </c>
      <c r="V578" s="140">
        <v>513.33390206497438</v>
      </c>
      <c r="W578" s="140">
        <v>525.17287859428257</v>
      </c>
      <c r="X578" s="140">
        <v>531.94351980668296</v>
      </c>
      <c r="Y578" s="140">
        <v>538.67154358508787</v>
      </c>
      <c r="Z578" s="140">
        <v>543.90524305121437</v>
      </c>
      <c r="AB578" s="139">
        <f>Z578/8.76</f>
        <v>62.089639617718539</v>
      </c>
    </row>
    <row r="579" spans="1:28" x14ac:dyDescent="0.2">
      <c r="A579" s="127" t="str">
        <f>'Scenario List'!$A$14</f>
        <v>12- WA Space/ Water Electrification</v>
      </c>
      <c r="B579" s="128" t="s">
        <v>2</v>
      </c>
      <c r="D579" s="140">
        <v>7.9311747678031006</v>
      </c>
      <c r="E579" s="140">
        <v>17.170197637823939</v>
      </c>
      <c r="F579" s="140">
        <v>27.681117285523623</v>
      </c>
      <c r="G579" s="140">
        <v>38.89847048864209</v>
      </c>
      <c r="H579" s="140">
        <v>51.043823134259902</v>
      </c>
      <c r="I579" s="140">
        <v>63.986980500093367</v>
      </c>
      <c r="J579" s="140">
        <v>77.333810476216627</v>
      </c>
      <c r="K579" s="140">
        <v>90.262602461278476</v>
      </c>
      <c r="L579" s="140">
        <v>103.35015572928779</v>
      </c>
      <c r="M579" s="140">
        <v>116.06979859138383</v>
      </c>
      <c r="N579" s="140">
        <v>126.98567653955725</v>
      </c>
      <c r="O579" s="140">
        <v>137.04039758481051</v>
      </c>
      <c r="P579" s="140">
        <v>146.31630291707128</v>
      </c>
      <c r="Q579" s="140">
        <v>154.93340902290106</v>
      </c>
      <c r="R579" s="140">
        <v>162.93804680376775</v>
      </c>
      <c r="S579" s="140">
        <v>169.41287759181677</v>
      </c>
      <c r="T579" s="140">
        <v>175.42773813419544</v>
      </c>
      <c r="U579" s="140">
        <v>180.84552313892806</v>
      </c>
      <c r="V579" s="140">
        <v>185.94813582129288</v>
      </c>
      <c r="W579" s="140">
        <v>190.82583527532958</v>
      </c>
      <c r="X579" s="140">
        <v>193.23548267483739</v>
      </c>
      <c r="Y579" s="140">
        <v>195.58670616276171</v>
      </c>
      <c r="Z579" s="140">
        <v>197.51524054399405</v>
      </c>
      <c r="AB579" s="139">
        <f>Z579/8.76</f>
        <v>22.547401888583796</v>
      </c>
    </row>
    <row r="580" spans="1:28" x14ac:dyDescent="0.2">
      <c r="A580" s="127" t="str">
        <f>'Scenario List'!$A$14</f>
        <v>12- WA Space/ Water Electrification</v>
      </c>
      <c r="B580" s="128" t="s">
        <v>4</v>
      </c>
      <c r="D580" s="140">
        <v>28.683388537726799</v>
      </c>
      <c r="E580" s="140">
        <v>62.443807301154905</v>
      </c>
      <c r="F580" s="140">
        <v>101.09685964742175</v>
      </c>
      <c r="G580" s="140">
        <v>142.7968785978596</v>
      </c>
      <c r="H580" s="140">
        <v>188.35773729561441</v>
      </c>
      <c r="I580" s="140">
        <v>237.83461824455998</v>
      </c>
      <c r="J580" s="140">
        <v>289.63479956654908</v>
      </c>
      <c r="K580" s="140">
        <v>340.17914396481854</v>
      </c>
      <c r="L580" s="140">
        <v>391.13461790591856</v>
      </c>
      <c r="M580" s="140">
        <v>440.09322726077869</v>
      </c>
      <c r="N580" s="140">
        <v>483.57852778085197</v>
      </c>
      <c r="O580" s="140">
        <v>522.76583634360452</v>
      </c>
      <c r="P580" s="140">
        <v>557.96951582402505</v>
      </c>
      <c r="Q580" s="140">
        <v>589.76246792035511</v>
      </c>
      <c r="R580" s="140">
        <v>618.59557011920629</v>
      </c>
      <c r="S580" s="140">
        <v>641.72833012621641</v>
      </c>
      <c r="T580" s="140">
        <v>662.83904781309298</v>
      </c>
      <c r="U580" s="140">
        <v>681.61037290280706</v>
      </c>
      <c r="V580" s="140">
        <v>699.28203788626729</v>
      </c>
      <c r="W580" s="140">
        <v>715.99871386961217</v>
      </c>
      <c r="X580" s="140">
        <v>725.17900248152034</v>
      </c>
      <c r="Y580" s="140">
        <v>734.25824974784962</v>
      </c>
      <c r="Z580" s="140">
        <v>741.42048359520845</v>
      </c>
      <c r="AB580" s="139">
        <f>Z580/8.76</f>
        <v>84.637041506302339</v>
      </c>
    </row>
    <row r="581" spans="1:28" x14ac:dyDescent="0.2">
      <c r="A581" s="127" t="str">
        <f>'Scenario List'!$A$14</f>
        <v>12- WA Space/ Water Electrification</v>
      </c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  <c r="AB581" s="139"/>
    </row>
    <row r="582" spans="1:28" x14ac:dyDescent="0.2">
      <c r="A582" s="127" t="str">
        <f>'Scenario List'!$A$14</f>
        <v>12- WA Space/ Water Electrification</v>
      </c>
      <c r="B582" s="141" t="s">
        <v>32</v>
      </c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  <c r="AB582" s="139"/>
    </row>
    <row r="583" spans="1:28" x14ac:dyDescent="0.2">
      <c r="A583" s="127" t="str">
        <f>'Scenario List'!$A$14</f>
        <v>12- WA Space/ Water Electrification</v>
      </c>
      <c r="B583" s="128" t="s">
        <v>1</v>
      </c>
      <c r="D583" s="140">
        <v>2.4975759639158674</v>
      </c>
      <c r="E583" s="140">
        <v>5.4507586377794821</v>
      </c>
      <c r="F583" s="140">
        <v>8.8368370628234896</v>
      </c>
      <c r="G583" s="140">
        <v>12.507060598147847</v>
      </c>
      <c r="H583" s="140">
        <v>16.53078969641729</v>
      </c>
      <c r="I583" s="140">
        <v>20.937033536441266</v>
      </c>
      <c r="J583" s="140">
        <v>25.561873863787628</v>
      </c>
      <c r="K583" s="140">
        <v>30.093050688499428</v>
      </c>
      <c r="L583" s="140">
        <v>34.655771714336971</v>
      </c>
      <c r="M583" s="140">
        <v>39.035868434675031</v>
      </c>
      <c r="N583" s="140">
        <v>42.94943843844009</v>
      </c>
      <c r="O583" s="140">
        <v>46.462517239659633</v>
      </c>
      <c r="P583" s="140">
        <v>49.59026219396992</v>
      </c>
      <c r="Q583" s="140">
        <v>52.404795501722738</v>
      </c>
      <c r="R583" s="140">
        <v>54.901879195167105</v>
      </c>
      <c r="S583" s="140">
        <v>56.914683202346055</v>
      </c>
      <c r="T583" s="140">
        <v>58.739797101413238</v>
      </c>
      <c r="U583" s="140">
        <v>60.376603465233757</v>
      </c>
      <c r="V583" s="140">
        <v>61.877186423436903</v>
      </c>
      <c r="W583" s="140">
        <v>63.311448721296934</v>
      </c>
      <c r="X583" s="140">
        <v>64.135230200872044</v>
      </c>
      <c r="Y583" s="140">
        <v>64.978134116278326</v>
      </c>
      <c r="Z583" s="140">
        <v>65.593911868366348</v>
      </c>
      <c r="AB583" s="139">
        <f>Z583</f>
        <v>65.593911868366348</v>
      </c>
    </row>
    <row r="584" spans="1:28" x14ac:dyDescent="0.2">
      <c r="A584" s="127" t="str">
        <f>'Scenario List'!$A$14</f>
        <v>12- WA Space/ Water Electrification</v>
      </c>
      <c r="B584" s="128" t="s">
        <v>2</v>
      </c>
      <c r="D584" s="140">
        <v>0.95453486000563048</v>
      </c>
      <c r="E584" s="140">
        <v>2.0672220258715699</v>
      </c>
      <c r="F584" s="140">
        <v>3.331894704044164</v>
      </c>
      <c r="G584" s="140">
        <v>4.6825118539381281</v>
      </c>
      <c r="H584" s="140">
        <v>6.145005119743697</v>
      </c>
      <c r="I584" s="140">
        <v>7.70615910579843</v>
      </c>
      <c r="J584" s="140">
        <v>9.3112948614572648</v>
      </c>
      <c r="K584" s="140">
        <v>10.868736638245496</v>
      </c>
      <c r="L584" s="140">
        <v>12.445701121268595</v>
      </c>
      <c r="M584" s="140">
        <v>13.983203022258639</v>
      </c>
      <c r="N584" s="140">
        <v>15.294651808397754</v>
      </c>
      <c r="O584" s="140">
        <v>16.507186707215599</v>
      </c>
      <c r="P584" s="140">
        <v>17.6261561853762</v>
      </c>
      <c r="Q584" s="140">
        <v>18.672288454725059</v>
      </c>
      <c r="R584" s="140">
        <v>19.63229948850017</v>
      </c>
      <c r="S584" s="140">
        <v>20.414492489707033</v>
      </c>
      <c r="T584" s="140">
        <v>21.14146623054576</v>
      </c>
      <c r="U584" s="140">
        <v>21.804322815729329</v>
      </c>
      <c r="V584" s="140">
        <v>22.414158540902992</v>
      </c>
      <c r="W584" s="140">
        <v>23.004729636973703</v>
      </c>
      <c r="X584" s="140">
        <v>23.297966236774936</v>
      </c>
      <c r="Y584" s="140">
        <v>23.592965649943562</v>
      </c>
      <c r="Z584" s="140">
        <v>23.819952917206944</v>
      </c>
      <c r="AB584" s="139">
        <f>Z584</f>
        <v>23.819952917206944</v>
      </c>
    </row>
    <row r="585" spans="1:28" x14ac:dyDescent="0.2">
      <c r="A585" s="127" t="str">
        <f>'Scenario List'!$A$14</f>
        <v>12- WA Space/ Water Electrification</v>
      </c>
      <c r="B585" s="128" t="s">
        <v>4</v>
      </c>
      <c r="D585" s="140">
        <v>3.4521108239214979</v>
      </c>
      <c r="E585" s="140">
        <v>7.517980663651052</v>
      </c>
      <c r="F585" s="140">
        <v>12.168731766867653</v>
      </c>
      <c r="G585" s="140">
        <v>17.189572452085976</v>
      </c>
      <c r="H585" s="140">
        <v>22.675794816160987</v>
      </c>
      <c r="I585" s="140">
        <v>28.643192642239697</v>
      </c>
      <c r="J585" s="140">
        <v>34.873168725244895</v>
      </c>
      <c r="K585" s="140">
        <v>40.961787326744926</v>
      </c>
      <c r="L585" s="140">
        <v>47.101472835605563</v>
      </c>
      <c r="M585" s="140">
        <v>53.019071456933673</v>
      </c>
      <c r="N585" s="140">
        <v>58.244090246837843</v>
      </c>
      <c r="O585" s="140">
        <v>62.969703946875228</v>
      </c>
      <c r="P585" s="140">
        <v>67.216418379346123</v>
      </c>
      <c r="Q585" s="140">
        <v>71.077083956447794</v>
      </c>
      <c r="R585" s="140">
        <v>74.534178683667278</v>
      </c>
      <c r="S585" s="140">
        <v>77.329175692053084</v>
      </c>
      <c r="T585" s="140">
        <v>79.881263331958991</v>
      </c>
      <c r="U585" s="140">
        <v>82.180926280963092</v>
      </c>
      <c r="V585" s="140">
        <v>84.291344964339899</v>
      </c>
      <c r="W585" s="140">
        <v>86.316178358270633</v>
      </c>
      <c r="X585" s="140">
        <v>87.433196437646984</v>
      </c>
      <c r="Y585" s="140">
        <v>88.571099766221892</v>
      </c>
      <c r="Z585" s="140">
        <v>89.413864785573296</v>
      </c>
      <c r="AB585" s="139">
        <f>Z585</f>
        <v>89.413864785573296</v>
      </c>
    </row>
    <row r="588" spans="1:28" x14ac:dyDescent="0.2">
      <c r="A588" s="127" t="str">
        <f>'Scenario List'!$A$15</f>
        <v>13- WA Space/ Water Electrification w/NG Backup</v>
      </c>
      <c r="B588" s="131" t="s">
        <v>11</v>
      </c>
    </row>
    <row r="589" spans="1:28" x14ac:dyDescent="0.2">
      <c r="A589" s="127" t="str">
        <f>'Scenario List'!$A$15</f>
        <v>13- WA Space/ Water Electrification w/NG Backup</v>
      </c>
      <c r="B589" s="128" t="s">
        <v>12</v>
      </c>
      <c r="D589" s="140">
        <v>0</v>
      </c>
      <c r="E589" s="140">
        <v>0</v>
      </c>
      <c r="F589" s="140">
        <v>0</v>
      </c>
      <c r="G589" s="140">
        <v>0</v>
      </c>
      <c r="H589" s="140">
        <v>0</v>
      </c>
      <c r="I589" s="140">
        <v>0</v>
      </c>
      <c r="J589" s="140">
        <v>0</v>
      </c>
      <c r="K589" s="140">
        <v>0</v>
      </c>
      <c r="L589" s="140">
        <v>0</v>
      </c>
      <c r="M589" s="140">
        <v>0</v>
      </c>
      <c r="N589" s="140">
        <v>0</v>
      </c>
      <c r="O589" s="140">
        <v>0</v>
      </c>
      <c r="P589" s="140">
        <v>0</v>
      </c>
      <c r="Q589" s="140">
        <v>0</v>
      </c>
      <c r="R589" s="140">
        <v>0</v>
      </c>
      <c r="S589" s="140">
        <v>0</v>
      </c>
      <c r="T589" s="140">
        <v>0</v>
      </c>
      <c r="U589" s="140">
        <v>0</v>
      </c>
      <c r="V589" s="140">
        <v>0</v>
      </c>
      <c r="W589" s="140">
        <v>0</v>
      </c>
      <c r="X589" s="140">
        <v>0</v>
      </c>
      <c r="Y589" s="140">
        <v>0</v>
      </c>
      <c r="Z589" s="140">
        <v>0</v>
      </c>
      <c r="AB589" s="139">
        <f>SUM(C589:Z589)</f>
        <v>0</v>
      </c>
    </row>
    <row r="590" spans="1:28" x14ac:dyDescent="0.2">
      <c r="A590" s="127" t="str">
        <f>'Scenario List'!$A$15</f>
        <v>13- WA Space/ Water Electrification w/NG Backup</v>
      </c>
      <c r="B590" s="128" t="s">
        <v>13</v>
      </c>
      <c r="D590" s="140">
        <v>0</v>
      </c>
      <c r="E590" s="140">
        <v>0</v>
      </c>
      <c r="F590" s="140">
        <v>0</v>
      </c>
      <c r="G590" s="140">
        <v>0</v>
      </c>
      <c r="H590" s="140">
        <v>0</v>
      </c>
      <c r="I590" s="140">
        <v>0</v>
      </c>
      <c r="J590" s="140">
        <v>0</v>
      </c>
      <c r="K590" s="140">
        <v>0</v>
      </c>
      <c r="L590" s="140">
        <v>0</v>
      </c>
      <c r="M590" s="140">
        <v>0</v>
      </c>
      <c r="N590" s="140">
        <v>0</v>
      </c>
      <c r="O590" s="140">
        <v>0</v>
      </c>
      <c r="P590" s="140">
        <v>0</v>
      </c>
      <c r="Q590" s="140">
        <v>0</v>
      </c>
      <c r="R590" s="140">
        <v>0</v>
      </c>
      <c r="S590" s="140">
        <v>0</v>
      </c>
      <c r="T590" s="140">
        <v>0</v>
      </c>
      <c r="U590" s="140">
        <v>0</v>
      </c>
      <c r="V590" s="140">
        <v>0</v>
      </c>
      <c r="W590" s="140">
        <v>0</v>
      </c>
      <c r="X590" s="140">
        <v>0</v>
      </c>
      <c r="Y590" s="140">
        <v>0</v>
      </c>
      <c r="Z590" s="140">
        <v>0</v>
      </c>
      <c r="AB590" s="139">
        <f t="shared" ref="AB590:AB597" si="36">SUM(C590:Z590)</f>
        <v>0</v>
      </c>
    </row>
    <row r="591" spans="1:28" x14ac:dyDescent="0.2">
      <c r="A591" s="127" t="str">
        <f>'Scenario List'!$A$15</f>
        <v>13- WA Space/ Water Electrification w/NG Backup</v>
      </c>
      <c r="B591" s="128" t="s">
        <v>14</v>
      </c>
      <c r="D591" s="140">
        <v>0</v>
      </c>
      <c r="E591" s="140">
        <v>0</v>
      </c>
      <c r="F591" s="140">
        <v>0</v>
      </c>
      <c r="G591" s="140">
        <v>0</v>
      </c>
      <c r="H591" s="140">
        <v>0</v>
      </c>
      <c r="I591" s="140">
        <v>0</v>
      </c>
      <c r="J591" s="140">
        <v>0</v>
      </c>
      <c r="K591" s="140">
        <v>0</v>
      </c>
      <c r="L591" s="140">
        <v>0</v>
      </c>
      <c r="M591" s="140">
        <v>0</v>
      </c>
      <c r="N591" s="140">
        <v>0</v>
      </c>
      <c r="O591" s="140">
        <v>0</v>
      </c>
      <c r="P591" s="140">
        <v>0</v>
      </c>
      <c r="Q591" s="140">
        <v>0</v>
      </c>
      <c r="R591" s="140">
        <v>0</v>
      </c>
      <c r="S591" s="140">
        <v>0</v>
      </c>
      <c r="T591" s="140">
        <v>0</v>
      </c>
      <c r="U591" s="140">
        <v>0</v>
      </c>
      <c r="V591" s="140">
        <v>0</v>
      </c>
      <c r="W591" s="140">
        <v>0</v>
      </c>
      <c r="X591" s="140">
        <v>0</v>
      </c>
      <c r="Y591" s="140">
        <v>0</v>
      </c>
      <c r="Z591" s="140">
        <v>0</v>
      </c>
      <c r="AB591" s="139">
        <f t="shared" si="36"/>
        <v>0</v>
      </c>
    </row>
    <row r="592" spans="1:28" x14ac:dyDescent="0.2">
      <c r="A592" s="127" t="str">
        <f>'Scenario List'!$A$15</f>
        <v>13- WA Space/ Water Electrification w/NG Backup</v>
      </c>
      <c r="B592" s="128" t="s">
        <v>15</v>
      </c>
      <c r="D592" s="140">
        <v>0</v>
      </c>
      <c r="E592" s="140">
        <v>0</v>
      </c>
      <c r="F592" s="140">
        <v>0</v>
      </c>
      <c r="G592" s="140">
        <v>0</v>
      </c>
      <c r="H592" s="140">
        <v>0</v>
      </c>
      <c r="I592" s="140">
        <v>0</v>
      </c>
      <c r="J592" s="140">
        <v>0</v>
      </c>
      <c r="K592" s="140">
        <v>0</v>
      </c>
      <c r="L592" s="140">
        <v>0</v>
      </c>
      <c r="M592" s="140">
        <v>0</v>
      </c>
      <c r="N592" s="140">
        <v>0</v>
      </c>
      <c r="O592" s="140">
        <v>0</v>
      </c>
      <c r="P592" s="140">
        <v>0</v>
      </c>
      <c r="Q592" s="140">
        <v>0</v>
      </c>
      <c r="R592" s="140">
        <v>0</v>
      </c>
      <c r="S592" s="140">
        <v>0</v>
      </c>
      <c r="T592" s="140">
        <v>0</v>
      </c>
      <c r="U592" s="140">
        <v>0</v>
      </c>
      <c r="V592" s="140">
        <v>0</v>
      </c>
      <c r="W592" s="140">
        <v>0</v>
      </c>
      <c r="X592" s="140">
        <v>0</v>
      </c>
      <c r="Y592" s="140">
        <v>0</v>
      </c>
      <c r="Z592" s="140">
        <v>0</v>
      </c>
      <c r="AB592" s="139">
        <f t="shared" si="36"/>
        <v>0</v>
      </c>
    </row>
    <row r="593" spans="1:28" x14ac:dyDescent="0.2">
      <c r="A593" s="127" t="str">
        <f>'Scenario List'!$A$15</f>
        <v>13- WA Space/ Water Electrification w/NG Backup</v>
      </c>
      <c r="B593" s="128" t="s">
        <v>16</v>
      </c>
      <c r="D593" s="140">
        <v>0</v>
      </c>
      <c r="E593" s="140">
        <v>0</v>
      </c>
      <c r="F593" s="140">
        <v>0</v>
      </c>
      <c r="G593" s="140">
        <v>0</v>
      </c>
      <c r="H593" s="140">
        <v>0</v>
      </c>
      <c r="I593" s="140">
        <v>0</v>
      </c>
      <c r="J593" s="140">
        <v>0</v>
      </c>
      <c r="K593" s="140">
        <v>0</v>
      </c>
      <c r="L593" s="140">
        <v>0</v>
      </c>
      <c r="M593" s="140">
        <v>53.18032826129734</v>
      </c>
      <c r="N593" s="140">
        <v>0</v>
      </c>
      <c r="O593" s="140">
        <v>0</v>
      </c>
      <c r="P593" s="140">
        <v>0</v>
      </c>
      <c r="Q593" s="140">
        <v>0</v>
      </c>
      <c r="R593" s="140">
        <v>0</v>
      </c>
      <c r="S593" s="140">
        <v>0</v>
      </c>
      <c r="T593" s="140">
        <v>0</v>
      </c>
      <c r="U593" s="140">
        <v>0</v>
      </c>
      <c r="V593" s="140">
        <v>55.747674495623102</v>
      </c>
      <c r="W593" s="140">
        <v>0</v>
      </c>
      <c r="X593" s="140">
        <v>0</v>
      </c>
      <c r="Y593" s="140">
        <v>80.826111567034971</v>
      </c>
      <c r="Z593" s="140">
        <v>0</v>
      </c>
      <c r="AB593" s="139">
        <f t="shared" si="36"/>
        <v>189.75411432395543</v>
      </c>
    </row>
    <row r="594" spans="1:28" x14ac:dyDescent="0.2">
      <c r="A594" s="127" t="str">
        <f>'Scenario List'!$A$15</f>
        <v>13- WA Space/ Water Electrification w/NG Backup</v>
      </c>
      <c r="B594" s="128" t="s">
        <v>85</v>
      </c>
      <c r="D594" s="140">
        <v>0</v>
      </c>
      <c r="E594" s="140">
        <v>0</v>
      </c>
      <c r="F594" s="140">
        <v>0</v>
      </c>
      <c r="G594" s="140">
        <v>0</v>
      </c>
      <c r="H594" s="140">
        <v>0</v>
      </c>
      <c r="I594" s="140">
        <v>0</v>
      </c>
      <c r="J594" s="140">
        <v>0</v>
      </c>
      <c r="K594" s="140">
        <v>0</v>
      </c>
      <c r="L594" s="140">
        <v>0</v>
      </c>
      <c r="M594" s="140">
        <v>0</v>
      </c>
      <c r="N594" s="140">
        <v>0</v>
      </c>
      <c r="O594" s="140">
        <v>0</v>
      </c>
      <c r="P594" s="140">
        <v>0</v>
      </c>
      <c r="Q594" s="140">
        <v>0</v>
      </c>
      <c r="R594" s="140">
        <v>0</v>
      </c>
      <c r="S594" s="140">
        <v>0</v>
      </c>
      <c r="T594" s="140">
        <v>0</v>
      </c>
      <c r="U594" s="140">
        <v>0</v>
      </c>
      <c r="V594" s="140">
        <v>0</v>
      </c>
      <c r="W594" s="140">
        <v>0</v>
      </c>
      <c r="X594" s="140">
        <v>0</v>
      </c>
      <c r="Y594" s="140">
        <v>0</v>
      </c>
      <c r="Z594" s="140">
        <v>0</v>
      </c>
      <c r="AB594" s="139">
        <f t="shared" si="36"/>
        <v>0</v>
      </c>
    </row>
    <row r="595" spans="1:28" x14ac:dyDescent="0.2">
      <c r="A595" s="127" t="str">
        <f>'Scenario List'!$A$15</f>
        <v>13- WA Space/ Water Electrification w/NG Backup</v>
      </c>
      <c r="B595" s="128" t="s">
        <v>86</v>
      </c>
      <c r="D595" s="140">
        <v>0</v>
      </c>
      <c r="E595" s="140">
        <v>0</v>
      </c>
      <c r="F595" s="140">
        <v>0</v>
      </c>
      <c r="G595" s="140">
        <v>0</v>
      </c>
      <c r="H595" s="140">
        <v>0</v>
      </c>
      <c r="I595" s="140">
        <v>0</v>
      </c>
      <c r="J595" s="140">
        <v>0</v>
      </c>
      <c r="K595" s="140">
        <v>0</v>
      </c>
      <c r="L595" s="140">
        <v>0</v>
      </c>
      <c r="M595" s="140">
        <v>0</v>
      </c>
      <c r="N595" s="140">
        <v>0</v>
      </c>
      <c r="O595" s="140">
        <v>0</v>
      </c>
      <c r="P595" s="140">
        <v>0</v>
      </c>
      <c r="Q595" s="140">
        <v>0</v>
      </c>
      <c r="R595" s="140">
        <v>0</v>
      </c>
      <c r="S595" s="140">
        <v>0</v>
      </c>
      <c r="T595" s="140">
        <v>0</v>
      </c>
      <c r="U595" s="140">
        <v>0</v>
      </c>
      <c r="V595" s="140">
        <v>0</v>
      </c>
      <c r="W595" s="140">
        <v>0</v>
      </c>
      <c r="X595" s="140">
        <v>0</v>
      </c>
      <c r="Y595" s="140">
        <v>0</v>
      </c>
      <c r="Z595" s="140">
        <v>0</v>
      </c>
      <c r="AB595" s="139">
        <f t="shared" si="36"/>
        <v>0</v>
      </c>
    </row>
    <row r="596" spans="1:28" x14ac:dyDescent="0.2">
      <c r="A596" s="127" t="str">
        <f>'Scenario List'!$A$15</f>
        <v>13- WA Space/ Water Electrification w/NG Backup</v>
      </c>
      <c r="B596" s="128" t="s">
        <v>87</v>
      </c>
      <c r="D596" s="140">
        <v>0</v>
      </c>
      <c r="E596" s="140">
        <v>0</v>
      </c>
      <c r="F596" s="140">
        <v>0</v>
      </c>
      <c r="G596" s="140">
        <v>0</v>
      </c>
      <c r="H596" s="140">
        <v>0</v>
      </c>
      <c r="I596" s="140">
        <v>0</v>
      </c>
      <c r="J596" s="140">
        <v>0</v>
      </c>
      <c r="K596" s="140">
        <v>0</v>
      </c>
      <c r="L596" s="140">
        <v>0</v>
      </c>
      <c r="M596" s="140">
        <v>0</v>
      </c>
      <c r="N596" s="140">
        <v>0</v>
      </c>
      <c r="O596" s="140">
        <v>0</v>
      </c>
      <c r="P596" s="140">
        <v>0</v>
      </c>
      <c r="Q596" s="140">
        <v>0</v>
      </c>
      <c r="R596" s="140">
        <v>0</v>
      </c>
      <c r="S596" s="140">
        <v>0</v>
      </c>
      <c r="T596" s="140">
        <v>0</v>
      </c>
      <c r="U596" s="140">
        <v>0</v>
      </c>
      <c r="V596" s="140">
        <v>0</v>
      </c>
      <c r="W596" s="140">
        <v>0</v>
      </c>
      <c r="X596" s="140">
        <v>0</v>
      </c>
      <c r="Y596" s="140">
        <v>0</v>
      </c>
      <c r="Z596" s="140">
        <v>0</v>
      </c>
      <c r="AB596" s="139">
        <f t="shared" si="36"/>
        <v>0</v>
      </c>
    </row>
    <row r="597" spans="1:28" x14ac:dyDescent="0.2">
      <c r="A597" s="127" t="str">
        <f>'Scenario List'!$A$15</f>
        <v>13- WA Space/ Water Electrification w/NG Backup</v>
      </c>
      <c r="B597" s="128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  <c r="AB597" s="139">
        <f t="shared" si="36"/>
        <v>0</v>
      </c>
    </row>
    <row r="598" spans="1:28" x14ac:dyDescent="0.2">
      <c r="A598" s="127" t="str">
        <f>'Scenario List'!$A$15</f>
        <v>13- WA Space/ Water Electrification w/NG Backup</v>
      </c>
      <c r="B598" s="128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  <c r="AB598" s="139"/>
    </row>
    <row r="599" spans="1:28" x14ac:dyDescent="0.2">
      <c r="A599" s="127" t="str">
        <f>'Scenario List'!$A$15</f>
        <v>13- WA Space/ Water Electrification w/NG Backup</v>
      </c>
      <c r="B599" s="128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  <c r="AB599" s="139"/>
    </row>
    <row r="600" spans="1:28" x14ac:dyDescent="0.2">
      <c r="A600" s="127" t="str">
        <f>'Scenario List'!$A$15</f>
        <v>13- WA Space/ Water Electrification w/NG Backup</v>
      </c>
      <c r="B600" s="131" t="s">
        <v>9</v>
      </c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  <c r="AB600" s="139"/>
    </row>
    <row r="601" spans="1:28" x14ac:dyDescent="0.2">
      <c r="A601" s="127" t="str">
        <f>'Scenario List'!$A$15</f>
        <v>13- WA Space/ Water Electrification w/NG Backup</v>
      </c>
      <c r="B601" s="128" t="s">
        <v>12</v>
      </c>
      <c r="D601" s="140">
        <v>0</v>
      </c>
      <c r="E601" s="140">
        <v>0</v>
      </c>
      <c r="F601" s="140">
        <v>0</v>
      </c>
      <c r="G601" s="140">
        <v>0</v>
      </c>
      <c r="H601" s="140">
        <v>0</v>
      </c>
      <c r="I601" s="140">
        <v>0</v>
      </c>
      <c r="J601" s="140">
        <v>0</v>
      </c>
      <c r="K601" s="140">
        <v>0</v>
      </c>
      <c r="L601" s="140">
        <v>0</v>
      </c>
      <c r="M601" s="140">
        <v>0</v>
      </c>
      <c r="N601" s="140">
        <v>0</v>
      </c>
      <c r="O601" s="140">
        <v>0</v>
      </c>
      <c r="P601" s="140">
        <v>0</v>
      </c>
      <c r="Q601" s="140">
        <v>0</v>
      </c>
      <c r="R601" s="140">
        <v>0</v>
      </c>
      <c r="S601" s="140">
        <v>0</v>
      </c>
      <c r="T601" s="140">
        <v>0</v>
      </c>
      <c r="U601" s="140">
        <v>0</v>
      </c>
      <c r="V601" s="140">
        <v>0</v>
      </c>
      <c r="W601" s="140">
        <v>0</v>
      </c>
      <c r="X601" s="140">
        <v>0</v>
      </c>
      <c r="Y601" s="140">
        <v>0</v>
      </c>
      <c r="Z601" s="140">
        <v>0</v>
      </c>
      <c r="AB601" s="139">
        <f t="shared" ref="AB601:AB611" si="37">SUM(C601:Z601)</f>
        <v>0</v>
      </c>
    </row>
    <row r="602" spans="1:28" x14ac:dyDescent="0.2">
      <c r="A602" s="127" t="str">
        <f>'Scenario List'!$A$15</f>
        <v>13- WA Space/ Water Electrification w/NG Backup</v>
      </c>
      <c r="B602" s="128" t="s">
        <v>13</v>
      </c>
      <c r="D602" s="140">
        <v>0</v>
      </c>
      <c r="E602" s="140">
        <v>0.66511494650584924</v>
      </c>
      <c r="F602" s="140">
        <v>0.68964304767683293</v>
      </c>
      <c r="G602" s="140">
        <v>0.71589907242028528</v>
      </c>
      <c r="H602" s="140">
        <v>0.74474669499237989</v>
      </c>
      <c r="I602" s="140">
        <v>0.77630123117714378</v>
      </c>
      <c r="J602" s="140">
        <v>0.8041059193743596</v>
      </c>
      <c r="K602" s="140">
        <v>0.83083685472765478</v>
      </c>
      <c r="L602" s="140">
        <v>0.86470303446854568</v>
      </c>
      <c r="M602" s="140">
        <v>0.89748885011569757</v>
      </c>
      <c r="N602" s="140">
        <v>0.92585276836631969</v>
      </c>
      <c r="O602" s="140">
        <v>0.24928498584740361</v>
      </c>
      <c r="P602" s="140">
        <v>0.23576628932611357</v>
      </c>
      <c r="Q602" s="140">
        <v>0.24612160581972412</v>
      </c>
      <c r="R602" s="140">
        <v>0.26314372418449711</v>
      </c>
      <c r="S602" s="140">
        <v>0.2766769716828395</v>
      </c>
      <c r="T602" s="140">
        <v>0.2</v>
      </c>
      <c r="U602" s="140">
        <v>0.20000000000000018</v>
      </c>
      <c r="V602" s="140">
        <v>0.20793619973014443</v>
      </c>
      <c r="W602" s="140">
        <v>0.2148907516311705</v>
      </c>
      <c r="X602" s="140">
        <v>0.22640612484517028</v>
      </c>
      <c r="Y602" s="140">
        <v>0.36594675150999328</v>
      </c>
      <c r="Z602" s="140">
        <v>150.40725504660398</v>
      </c>
      <c r="AB602" s="139">
        <f t="shared" si="37"/>
        <v>161.0081208710061</v>
      </c>
    </row>
    <row r="603" spans="1:28" x14ac:dyDescent="0.2">
      <c r="A603" s="127" t="str">
        <f>'Scenario List'!$A$15</f>
        <v>13- WA Space/ Water Electrification w/NG Backup</v>
      </c>
      <c r="B603" s="128" t="s">
        <v>14</v>
      </c>
      <c r="D603" s="140">
        <v>0</v>
      </c>
      <c r="E603" s="140">
        <v>0</v>
      </c>
      <c r="F603" s="140">
        <v>0</v>
      </c>
      <c r="G603" s="140">
        <v>0</v>
      </c>
      <c r="H603" s="140">
        <v>0</v>
      </c>
      <c r="I603" s="140">
        <v>0</v>
      </c>
      <c r="J603" s="140">
        <v>0</v>
      </c>
      <c r="K603" s="140">
        <v>0</v>
      </c>
      <c r="L603" s="140">
        <v>0</v>
      </c>
      <c r="M603" s="140">
        <v>0</v>
      </c>
      <c r="N603" s="140">
        <v>0</v>
      </c>
      <c r="O603" s="140">
        <v>0</v>
      </c>
      <c r="P603" s="140">
        <v>0</v>
      </c>
      <c r="Q603" s="140">
        <v>0</v>
      </c>
      <c r="R603" s="140">
        <v>0</v>
      </c>
      <c r="S603" s="140">
        <v>0</v>
      </c>
      <c r="T603" s="140">
        <v>0.10000000000000009</v>
      </c>
      <c r="U603" s="140">
        <v>0.10000000000000009</v>
      </c>
      <c r="V603" s="140">
        <v>0.10396809986507222</v>
      </c>
      <c r="W603" s="140">
        <v>0.10744537581558525</v>
      </c>
      <c r="X603" s="140">
        <v>0.11320306242258514</v>
      </c>
      <c r="Y603" s="140">
        <v>0</v>
      </c>
      <c r="Z603" s="140">
        <v>0</v>
      </c>
      <c r="AB603" s="139">
        <f t="shared" si="37"/>
        <v>0.52461653810324282</v>
      </c>
    </row>
    <row r="604" spans="1:28" x14ac:dyDescent="0.2">
      <c r="A604" s="127" t="str">
        <f>'Scenario List'!$A$15</f>
        <v>13- WA Space/ Water Electrification w/NG Backup</v>
      </c>
      <c r="B604" s="128" t="s">
        <v>15</v>
      </c>
      <c r="D604" s="140">
        <v>0</v>
      </c>
      <c r="E604" s="140">
        <v>0</v>
      </c>
      <c r="F604" s="140">
        <v>0</v>
      </c>
      <c r="G604" s="140">
        <v>0</v>
      </c>
      <c r="H604" s="140">
        <v>0</v>
      </c>
      <c r="I604" s="140">
        <v>0</v>
      </c>
      <c r="J604" s="140">
        <v>0</v>
      </c>
      <c r="K604" s="140">
        <v>200</v>
      </c>
      <c r="L604" s="140">
        <v>0</v>
      </c>
      <c r="M604" s="140">
        <v>200</v>
      </c>
      <c r="N604" s="140">
        <v>0</v>
      </c>
      <c r="O604" s="140">
        <v>0</v>
      </c>
      <c r="P604" s="140">
        <v>0</v>
      </c>
      <c r="Q604" s="140">
        <v>0</v>
      </c>
      <c r="R604" s="140">
        <v>0</v>
      </c>
      <c r="S604" s="140">
        <v>0</v>
      </c>
      <c r="T604" s="140">
        <v>0</v>
      </c>
      <c r="U604" s="140">
        <v>0</v>
      </c>
      <c r="V604" s="140">
        <v>140</v>
      </c>
      <c r="W604" s="140">
        <v>235.74593165335247</v>
      </c>
      <c r="X604" s="140">
        <v>200</v>
      </c>
      <c r="Y604" s="140">
        <v>169.25406834664747</v>
      </c>
      <c r="Z604" s="140">
        <v>200</v>
      </c>
      <c r="AB604" s="139">
        <f t="shared" si="37"/>
        <v>1345</v>
      </c>
    </row>
    <row r="605" spans="1:28" x14ac:dyDescent="0.2">
      <c r="A605" s="127" t="str">
        <f>'Scenario List'!$A$15</f>
        <v>13- WA Space/ Water Electrification w/NG Backup</v>
      </c>
      <c r="B605" s="128" t="s">
        <v>16</v>
      </c>
      <c r="D605" s="140">
        <v>0</v>
      </c>
      <c r="E605" s="140">
        <v>0</v>
      </c>
      <c r="F605" s="140">
        <v>0</v>
      </c>
      <c r="G605" s="140">
        <v>0</v>
      </c>
      <c r="H605" s="140">
        <v>0</v>
      </c>
      <c r="I605" s="140">
        <v>0</v>
      </c>
      <c r="J605" s="140">
        <v>0</v>
      </c>
      <c r="K605" s="140">
        <v>0</v>
      </c>
      <c r="L605" s="140">
        <v>0</v>
      </c>
      <c r="M605" s="140">
        <v>87.251494821244222</v>
      </c>
      <c r="N605" s="140">
        <v>0</v>
      </c>
      <c r="O605" s="140">
        <v>0</v>
      </c>
      <c r="P605" s="140">
        <v>0</v>
      </c>
      <c r="Q605" s="140">
        <v>0</v>
      </c>
      <c r="R605" s="140">
        <v>0</v>
      </c>
      <c r="S605" s="140">
        <v>59.30921609159445</v>
      </c>
      <c r="T605" s="140">
        <v>66.062898496679566</v>
      </c>
      <c r="U605" s="140">
        <v>71.201939376781468</v>
      </c>
      <c r="V605" s="140">
        <v>56.619704387619265</v>
      </c>
      <c r="W605" s="140">
        <v>50</v>
      </c>
      <c r="X605" s="140">
        <v>56.518413315432049</v>
      </c>
      <c r="Y605" s="140">
        <v>0</v>
      </c>
      <c r="Z605" s="140">
        <v>0</v>
      </c>
      <c r="AB605" s="139">
        <f t="shared" si="37"/>
        <v>446.963666489351</v>
      </c>
    </row>
    <row r="606" spans="1:28" x14ac:dyDescent="0.2">
      <c r="A606" s="127" t="str">
        <f>'Scenario List'!$A$15</f>
        <v>13- WA Space/ Water Electrification w/NG Backup</v>
      </c>
      <c r="B606" s="128" t="s">
        <v>85</v>
      </c>
      <c r="D606" s="140">
        <v>0</v>
      </c>
      <c r="E606" s="140">
        <v>0</v>
      </c>
      <c r="F606" s="140">
        <v>0</v>
      </c>
      <c r="G606" s="140">
        <v>0</v>
      </c>
      <c r="H606" s="140">
        <v>0</v>
      </c>
      <c r="I606" s="140">
        <v>0</v>
      </c>
      <c r="J606" s="140">
        <v>0</v>
      </c>
      <c r="K606" s="140">
        <v>0</v>
      </c>
      <c r="L606" s="140">
        <v>0</v>
      </c>
      <c r="M606" s="140">
        <v>0</v>
      </c>
      <c r="N606" s="140">
        <v>0</v>
      </c>
      <c r="O606" s="140">
        <v>0</v>
      </c>
      <c r="P606" s="140">
        <v>0</v>
      </c>
      <c r="Q606" s="140">
        <v>109.48975808427699</v>
      </c>
      <c r="R606" s="140">
        <v>80.486591069886487</v>
      </c>
      <c r="S606" s="140">
        <v>0</v>
      </c>
      <c r="T606" s="140">
        <v>0</v>
      </c>
      <c r="U606" s="140">
        <v>0</v>
      </c>
      <c r="V606" s="140">
        <v>0</v>
      </c>
      <c r="W606" s="140">
        <v>184.85118938293454</v>
      </c>
      <c r="X606" s="140">
        <v>0</v>
      </c>
      <c r="Y606" s="140">
        <v>0</v>
      </c>
      <c r="Z606" s="140">
        <v>392.32654258158743</v>
      </c>
      <c r="AB606" s="139">
        <f t="shared" si="37"/>
        <v>767.15408111868544</v>
      </c>
    </row>
    <row r="607" spans="1:28" x14ac:dyDescent="0.2">
      <c r="A607" s="127" t="str">
        <f>'Scenario List'!$A$15</f>
        <v>13- WA Space/ Water Electrification w/NG Backup</v>
      </c>
      <c r="B607" s="128" t="s">
        <v>86</v>
      </c>
      <c r="D607" s="140">
        <v>0</v>
      </c>
      <c r="E607" s="140">
        <v>0</v>
      </c>
      <c r="F607" s="140">
        <v>0</v>
      </c>
      <c r="G607" s="140">
        <v>0</v>
      </c>
      <c r="H607" s="140">
        <v>0</v>
      </c>
      <c r="I607" s="140">
        <v>0</v>
      </c>
      <c r="J607" s="140">
        <v>0</v>
      </c>
      <c r="K607" s="140">
        <v>0</v>
      </c>
      <c r="L607" s="140">
        <v>20</v>
      </c>
      <c r="M607" s="140">
        <v>19.999999999999961</v>
      </c>
      <c r="N607" s="140">
        <v>0</v>
      </c>
      <c r="O607" s="140">
        <v>0</v>
      </c>
      <c r="P607" s="140">
        <v>0</v>
      </c>
      <c r="Q607" s="140">
        <v>0</v>
      </c>
      <c r="R607" s="140">
        <v>0</v>
      </c>
      <c r="S607" s="140">
        <v>0</v>
      </c>
      <c r="T607" s="140">
        <v>0</v>
      </c>
      <c r="U607" s="140">
        <v>0</v>
      </c>
      <c r="V607" s="140">
        <v>0</v>
      </c>
      <c r="W607" s="140">
        <v>0</v>
      </c>
      <c r="X607" s="140">
        <v>0</v>
      </c>
      <c r="Y607" s="140">
        <v>0</v>
      </c>
      <c r="Z607" s="140">
        <v>57.600000000000016</v>
      </c>
      <c r="AB607" s="139">
        <f t="shared" si="37"/>
        <v>97.599999999999966</v>
      </c>
    </row>
    <row r="608" spans="1:28" x14ac:dyDescent="0.2">
      <c r="A608" s="127" t="str">
        <f>'Scenario List'!$A$15</f>
        <v>13- WA Space/ Water Electrification w/NG Backup</v>
      </c>
      <c r="B608" s="128" t="s">
        <v>87</v>
      </c>
      <c r="D608" s="140">
        <v>0</v>
      </c>
      <c r="E608" s="140">
        <v>0</v>
      </c>
      <c r="F608" s="140">
        <v>0</v>
      </c>
      <c r="G608" s="140">
        <v>0</v>
      </c>
      <c r="H608" s="140">
        <v>0</v>
      </c>
      <c r="I608" s="140">
        <v>0</v>
      </c>
      <c r="J608" s="140">
        <v>0</v>
      </c>
      <c r="K608" s="140">
        <v>0</v>
      </c>
      <c r="L608" s="140">
        <v>0</v>
      </c>
      <c r="M608" s="140">
        <v>0</v>
      </c>
      <c r="N608" s="140">
        <v>0</v>
      </c>
      <c r="O608" s="140">
        <v>0</v>
      </c>
      <c r="P608" s="140">
        <v>0</v>
      </c>
      <c r="Q608" s="140">
        <v>0</v>
      </c>
      <c r="R608" s="140">
        <v>0</v>
      </c>
      <c r="S608" s="140">
        <v>0</v>
      </c>
      <c r="T608" s="140">
        <v>0</v>
      </c>
      <c r="U608" s="140">
        <v>0</v>
      </c>
      <c r="V608" s="140">
        <v>0</v>
      </c>
      <c r="W608" s="140">
        <v>0</v>
      </c>
      <c r="X608" s="140">
        <v>0</v>
      </c>
      <c r="Y608" s="140">
        <v>0</v>
      </c>
      <c r="Z608" s="140">
        <v>0</v>
      </c>
      <c r="AB608" s="139">
        <f t="shared" si="37"/>
        <v>0</v>
      </c>
    </row>
    <row r="609" spans="1:28" x14ac:dyDescent="0.2">
      <c r="A609" s="127" t="str">
        <f>'Scenario List'!$A$15</f>
        <v>13- WA Space/ Water Electrification w/NG Backup</v>
      </c>
      <c r="B609" s="128" t="s">
        <v>17</v>
      </c>
      <c r="D609" s="140">
        <v>0</v>
      </c>
      <c r="E609" s="140">
        <v>0</v>
      </c>
      <c r="F609" s="140">
        <v>6.7666466459931875</v>
      </c>
      <c r="G609" s="140">
        <v>0</v>
      </c>
      <c r="H609" s="140">
        <v>0</v>
      </c>
      <c r="I609" s="140">
        <v>0</v>
      </c>
      <c r="J609" s="140">
        <v>0</v>
      </c>
      <c r="K609" s="140">
        <v>0</v>
      </c>
      <c r="L609" s="140">
        <v>0</v>
      </c>
      <c r="M609" s="140">
        <v>0</v>
      </c>
      <c r="N609" s="140">
        <v>0</v>
      </c>
      <c r="O609" s="140">
        <v>0</v>
      </c>
      <c r="P609" s="140">
        <v>0</v>
      </c>
      <c r="Q609" s="140">
        <v>0</v>
      </c>
      <c r="R609" s="140">
        <v>0</v>
      </c>
      <c r="S609" s="140">
        <v>0</v>
      </c>
      <c r="T609" s="140">
        <v>0</v>
      </c>
      <c r="U609" s="140">
        <v>0</v>
      </c>
      <c r="V609" s="140">
        <v>0</v>
      </c>
      <c r="W609" s="140">
        <v>0</v>
      </c>
      <c r="X609" s="140">
        <v>0</v>
      </c>
      <c r="Y609" s="140">
        <v>0</v>
      </c>
      <c r="Z609" s="140">
        <v>0</v>
      </c>
      <c r="AB609" s="139">
        <f t="shared" si="37"/>
        <v>6.7666466459931875</v>
      </c>
    </row>
    <row r="610" spans="1:28" x14ac:dyDescent="0.2">
      <c r="A610" s="127" t="str">
        <f>'Scenario List'!$A$15</f>
        <v>13- WA Space/ Water Electrification w/NG Backup</v>
      </c>
      <c r="B610" s="128" t="s">
        <v>18</v>
      </c>
      <c r="D610" s="140">
        <v>1.4932977133012768</v>
      </c>
      <c r="E610" s="140">
        <v>1.8654803088207754</v>
      </c>
      <c r="F610" s="140">
        <v>2.1057674147761083</v>
      </c>
      <c r="G610" s="140">
        <v>2.4842053835291864</v>
      </c>
      <c r="H610" s="140">
        <v>2.6607233338604752</v>
      </c>
      <c r="I610" s="140">
        <v>2.8299346150950893</v>
      </c>
      <c r="J610" s="140">
        <v>2.8425675859056874</v>
      </c>
      <c r="K610" s="140">
        <v>2.7135818878562787</v>
      </c>
      <c r="L610" s="140">
        <v>3.1028624142102643</v>
      </c>
      <c r="M610" s="140">
        <v>3.2729114845180263</v>
      </c>
      <c r="N610" s="140">
        <v>3.1501925862609212</v>
      </c>
      <c r="O610" s="140">
        <v>3.2261815518598915</v>
      </c>
      <c r="P610" s="140">
        <v>3.1693904029046145</v>
      </c>
      <c r="Q610" s="140">
        <v>3.208450537665037</v>
      </c>
      <c r="R610" s="140">
        <v>2.8836148494460048</v>
      </c>
      <c r="S610" s="140">
        <v>2.5804708199249617</v>
      </c>
      <c r="T610" s="140">
        <v>2.4706864225236274</v>
      </c>
      <c r="U610" s="140">
        <v>2.4799727449166085</v>
      </c>
      <c r="V610" s="140">
        <v>2.2001957685114988</v>
      </c>
      <c r="W610" s="140">
        <v>2.2719498864340224</v>
      </c>
      <c r="X610" s="140">
        <v>1.386701750758867</v>
      </c>
      <c r="Y610" s="140">
        <v>1.5932359817390491</v>
      </c>
      <c r="Z610" s="140">
        <v>0.88552399669061543</v>
      </c>
      <c r="AB610" s="139">
        <f t="shared" si="37"/>
        <v>56.877899441508887</v>
      </c>
    </row>
    <row r="611" spans="1:28" x14ac:dyDescent="0.2">
      <c r="A611" s="127" t="str">
        <f>'Scenario List'!$A$15</f>
        <v>13- WA Space/ Water Electrification w/NG Backup</v>
      </c>
      <c r="B611" s="128" t="s">
        <v>19</v>
      </c>
      <c r="D611" s="140">
        <v>1.4004977039814568</v>
      </c>
      <c r="E611" s="140">
        <v>1.7821606847459033</v>
      </c>
      <c r="F611" s="140">
        <v>2.055950421658697</v>
      </c>
      <c r="G611" s="140">
        <v>2.4940783231581358</v>
      </c>
      <c r="H611" s="140">
        <v>2.7319544750186022</v>
      </c>
      <c r="I611" s="140">
        <v>2.9600572707728574</v>
      </c>
      <c r="J611" s="140">
        <v>3.0244000916400768</v>
      </c>
      <c r="K611" s="140">
        <v>2.9538500891415431</v>
      </c>
      <c r="L611" s="140">
        <v>3.3700299833950744</v>
      </c>
      <c r="M611" s="140">
        <v>3.6174190038886067</v>
      </c>
      <c r="N611" s="140">
        <v>3.5358408377060506</v>
      </c>
      <c r="O611" s="140">
        <v>3.6112411314301909</v>
      </c>
      <c r="P611" s="140">
        <v>3.5239362981763733</v>
      </c>
      <c r="Q611" s="140">
        <v>3.513360589022156</v>
      </c>
      <c r="R611" s="140">
        <v>3.1093475256561902</v>
      </c>
      <c r="S611" s="140">
        <v>2.688872449400165</v>
      </c>
      <c r="T611" s="140">
        <v>2.5517777343556816</v>
      </c>
      <c r="U611" s="140">
        <v>2.4892715293135481</v>
      </c>
      <c r="V611" s="140">
        <v>2.1153449510597397</v>
      </c>
      <c r="W611" s="140">
        <v>2.1779167590378989</v>
      </c>
      <c r="X611" s="140">
        <v>1.372037361319137</v>
      </c>
      <c r="Y611" s="140">
        <v>1.5697351744698835</v>
      </c>
      <c r="Z611" s="140">
        <v>0.88534920302040376</v>
      </c>
      <c r="AB611" s="139">
        <f t="shared" si="37"/>
        <v>59.534429591368372</v>
      </c>
    </row>
    <row r="612" spans="1:28" x14ac:dyDescent="0.2">
      <c r="A612" s="127" t="str">
        <f>'Scenario List'!$A$15</f>
        <v>13- WA Space/ Water Electrification w/NG Backup</v>
      </c>
      <c r="B612" s="128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  <c r="AB612" s="139"/>
    </row>
    <row r="613" spans="1:28" x14ac:dyDescent="0.2">
      <c r="A613" s="127" t="str">
        <f>'Scenario List'!$A$15</f>
        <v>13- WA Space/ Water Electrification w/NG Backup</v>
      </c>
      <c r="B613" s="132" t="s">
        <v>8</v>
      </c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  <c r="AB613" s="139"/>
    </row>
    <row r="614" spans="1:28" x14ac:dyDescent="0.2">
      <c r="A614" s="127" t="str">
        <f>'Scenario List'!$A$15</f>
        <v>13- WA Space/ Water Electrification w/NG Backup</v>
      </c>
      <c r="B614" s="128" t="s">
        <v>12</v>
      </c>
      <c r="D614" s="140">
        <v>0</v>
      </c>
      <c r="E614" s="140">
        <v>0</v>
      </c>
      <c r="F614" s="140">
        <v>0</v>
      </c>
      <c r="G614" s="140">
        <v>0</v>
      </c>
      <c r="H614" s="140">
        <v>0</v>
      </c>
      <c r="I614" s="140">
        <v>0</v>
      </c>
      <c r="J614" s="140">
        <v>0</v>
      </c>
      <c r="K614" s="140">
        <v>0</v>
      </c>
      <c r="L614" s="140">
        <v>0</v>
      </c>
      <c r="M614" s="140">
        <v>0</v>
      </c>
      <c r="N614" s="140">
        <v>0</v>
      </c>
      <c r="O614" s="140">
        <v>0</v>
      </c>
      <c r="P614" s="140">
        <v>0</v>
      </c>
      <c r="Q614" s="140">
        <v>90.247500000000002</v>
      </c>
      <c r="R614" s="140">
        <v>0</v>
      </c>
      <c r="S614" s="140">
        <v>0</v>
      </c>
      <c r="T614" s="140">
        <v>0</v>
      </c>
      <c r="U614" s="140">
        <v>0</v>
      </c>
      <c r="V614" s="140">
        <v>0</v>
      </c>
      <c r="W614" s="140">
        <v>134.92496146290208</v>
      </c>
      <c r="X614" s="140">
        <v>0</v>
      </c>
      <c r="Y614" s="140">
        <v>0</v>
      </c>
      <c r="Z614" s="140">
        <v>46.359500000000025</v>
      </c>
      <c r="AB614" s="139">
        <f t="shared" ref="AB614:AB624" si="38">SUM(C614:Z614)</f>
        <v>271.53196146290213</v>
      </c>
    </row>
    <row r="615" spans="1:28" x14ac:dyDescent="0.2">
      <c r="A615" s="127" t="str">
        <f>'Scenario List'!$A$15</f>
        <v>13- WA Space/ Water Electrification w/NG Backup</v>
      </c>
      <c r="B615" s="128" t="s">
        <v>13</v>
      </c>
      <c r="D615" s="140">
        <v>0</v>
      </c>
      <c r="E615" s="140">
        <v>0</v>
      </c>
      <c r="F615" s="140">
        <v>0</v>
      </c>
      <c r="G615" s="140">
        <v>0</v>
      </c>
      <c r="H615" s="140">
        <v>0</v>
      </c>
      <c r="I615" s="140">
        <v>0</v>
      </c>
      <c r="J615" s="140">
        <v>0</v>
      </c>
      <c r="K615" s="140">
        <v>0</v>
      </c>
      <c r="L615" s="140">
        <v>0</v>
      </c>
      <c r="M615" s="140">
        <v>0</v>
      </c>
      <c r="N615" s="140">
        <v>0</v>
      </c>
      <c r="O615" s="140">
        <v>0</v>
      </c>
      <c r="P615" s="140">
        <v>0</v>
      </c>
      <c r="Q615" s="140">
        <v>0</v>
      </c>
      <c r="R615" s="140">
        <v>0</v>
      </c>
      <c r="S615" s="140">
        <v>0</v>
      </c>
      <c r="T615" s="140">
        <v>0</v>
      </c>
      <c r="U615" s="140">
        <v>0</v>
      </c>
      <c r="V615" s="140">
        <v>0</v>
      </c>
      <c r="W615" s="140">
        <v>0</v>
      </c>
      <c r="X615" s="140">
        <v>0</v>
      </c>
      <c r="Y615" s="140">
        <v>0</v>
      </c>
      <c r="Z615" s="140">
        <v>0</v>
      </c>
      <c r="AB615" s="139">
        <f t="shared" si="38"/>
        <v>0</v>
      </c>
    </row>
    <row r="616" spans="1:28" x14ac:dyDescent="0.2">
      <c r="A616" s="127" t="str">
        <f>'Scenario List'!$A$15</f>
        <v>13- WA Space/ Water Electrification w/NG Backup</v>
      </c>
      <c r="B616" s="128" t="s">
        <v>14</v>
      </c>
      <c r="D616" s="140">
        <v>0</v>
      </c>
      <c r="E616" s="140">
        <v>0</v>
      </c>
      <c r="F616" s="140">
        <v>0</v>
      </c>
      <c r="G616" s="140">
        <v>0</v>
      </c>
      <c r="H616" s="140">
        <v>0</v>
      </c>
      <c r="I616" s="140">
        <v>0</v>
      </c>
      <c r="J616" s="140">
        <v>0</v>
      </c>
      <c r="K616" s="140">
        <v>0</v>
      </c>
      <c r="L616" s="140">
        <v>0</v>
      </c>
      <c r="M616" s="140">
        <v>0</v>
      </c>
      <c r="N616" s="140">
        <v>0</v>
      </c>
      <c r="O616" s="140">
        <v>0</v>
      </c>
      <c r="P616" s="140">
        <v>0</v>
      </c>
      <c r="Q616" s="140">
        <v>0</v>
      </c>
      <c r="R616" s="140">
        <v>0</v>
      </c>
      <c r="S616" s="140">
        <v>0</v>
      </c>
      <c r="T616" s="140">
        <v>0</v>
      </c>
      <c r="U616" s="140">
        <v>0</v>
      </c>
      <c r="V616" s="140">
        <v>0</v>
      </c>
      <c r="W616" s="140">
        <v>0</v>
      </c>
      <c r="X616" s="140">
        <v>0</v>
      </c>
      <c r="Y616" s="140">
        <v>0</v>
      </c>
      <c r="Z616" s="140">
        <v>0</v>
      </c>
      <c r="AB616" s="139">
        <f t="shared" si="38"/>
        <v>0</v>
      </c>
    </row>
    <row r="617" spans="1:28" x14ac:dyDescent="0.2">
      <c r="A617" s="127" t="str">
        <f>'Scenario List'!$A$15</f>
        <v>13- WA Space/ Water Electrification w/NG Backup</v>
      </c>
      <c r="B617" s="128" t="s">
        <v>15</v>
      </c>
      <c r="D617" s="140">
        <v>0</v>
      </c>
      <c r="E617" s="140">
        <v>0</v>
      </c>
      <c r="F617" s="140">
        <v>0</v>
      </c>
      <c r="G617" s="140">
        <v>0</v>
      </c>
      <c r="H617" s="140">
        <v>0</v>
      </c>
      <c r="I617" s="140">
        <v>0</v>
      </c>
      <c r="J617" s="140">
        <v>0</v>
      </c>
      <c r="K617" s="140">
        <v>0</v>
      </c>
      <c r="L617" s="140">
        <v>0</v>
      </c>
      <c r="M617" s="140">
        <v>0</v>
      </c>
      <c r="N617" s="140">
        <v>0</v>
      </c>
      <c r="O617" s="140">
        <v>0</v>
      </c>
      <c r="P617" s="140">
        <v>0</v>
      </c>
      <c r="Q617" s="140">
        <v>0</v>
      </c>
      <c r="R617" s="140">
        <v>0</v>
      </c>
      <c r="S617" s="140">
        <v>0</v>
      </c>
      <c r="T617" s="140">
        <v>0</v>
      </c>
      <c r="U617" s="140">
        <v>0</v>
      </c>
      <c r="V617" s="140">
        <v>0</v>
      </c>
      <c r="W617" s="140">
        <v>0</v>
      </c>
      <c r="X617" s="140">
        <v>0</v>
      </c>
      <c r="Y617" s="140">
        <v>0</v>
      </c>
      <c r="Z617" s="140">
        <v>0</v>
      </c>
      <c r="AB617" s="139">
        <f t="shared" si="38"/>
        <v>0</v>
      </c>
    </row>
    <row r="618" spans="1:28" x14ac:dyDescent="0.2">
      <c r="A618" s="127" t="str">
        <f>'Scenario List'!$A$15</f>
        <v>13- WA Space/ Water Electrification w/NG Backup</v>
      </c>
      <c r="B618" s="128" t="s">
        <v>16</v>
      </c>
      <c r="D618" s="140">
        <v>0</v>
      </c>
      <c r="E618" s="140">
        <v>0</v>
      </c>
      <c r="F618" s="140">
        <v>0</v>
      </c>
      <c r="G618" s="140">
        <v>0</v>
      </c>
      <c r="H618" s="140">
        <v>0</v>
      </c>
      <c r="I618" s="140">
        <v>0</v>
      </c>
      <c r="J618" s="140">
        <v>0</v>
      </c>
      <c r="K618" s="140">
        <v>0</v>
      </c>
      <c r="L618" s="140">
        <v>0</v>
      </c>
      <c r="M618" s="140">
        <v>0</v>
      </c>
      <c r="N618" s="140">
        <v>0</v>
      </c>
      <c r="O618" s="140">
        <v>0</v>
      </c>
      <c r="P618" s="140">
        <v>0</v>
      </c>
      <c r="Q618" s="140">
        <v>0</v>
      </c>
      <c r="R618" s="140">
        <v>0</v>
      </c>
      <c r="S618" s="140">
        <v>0</v>
      </c>
      <c r="T618" s="140">
        <v>0</v>
      </c>
      <c r="U618" s="140">
        <v>0</v>
      </c>
      <c r="V618" s="140">
        <v>0</v>
      </c>
      <c r="W618" s="140">
        <v>0</v>
      </c>
      <c r="X618" s="140">
        <v>0</v>
      </c>
      <c r="Y618" s="140">
        <v>0</v>
      </c>
      <c r="Z618" s="140">
        <v>81.402137008713837</v>
      </c>
      <c r="AB618" s="139">
        <f t="shared" si="38"/>
        <v>81.402137008713837</v>
      </c>
    </row>
    <row r="619" spans="1:28" x14ac:dyDescent="0.2">
      <c r="A619" s="127" t="str">
        <f>'Scenario List'!$A$15</f>
        <v>13- WA Space/ Water Electrification w/NG Backup</v>
      </c>
      <c r="B619" s="128" t="s">
        <v>85</v>
      </c>
      <c r="D619" s="140">
        <v>0</v>
      </c>
      <c r="E619" s="140">
        <v>0</v>
      </c>
      <c r="F619" s="140">
        <v>0</v>
      </c>
      <c r="G619" s="140">
        <v>0</v>
      </c>
      <c r="H619" s="140">
        <v>0</v>
      </c>
      <c r="I619" s="140">
        <v>0</v>
      </c>
      <c r="J619" s="140">
        <v>0</v>
      </c>
      <c r="K619" s="140">
        <v>0</v>
      </c>
      <c r="L619" s="140">
        <v>0</v>
      </c>
      <c r="M619" s="140">
        <v>0</v>
      </c>
      <c r="N619" s="140">
        <v>0</v>
      </c>
      <c r="O619" s="140">
        <v>0</v>
      </c>
      <c r="P619" s="140">
        <v>0</v>
      </c>
      <c r="Q619" s="140">
        <v>0</v>
      </c>
      <c r="R619" s="140">
        <v>0</v>
      </c>
      <c r="S619" s="140">
        <v>0</v>
      </c>
      <c r="T619" s="140">
        <v>0</v>
      </c>
      <c r="U619" s="140">
        <v>0</v>
      </c>
      <c r="V619" s="140">
        <v>0</v>
      </c>
      <c r="W619" s="140">
        <v>0</v>
      </c>
      <c r="X619" s="140">
        <v>0</v>
      </c>
      <c r="Y619" s="140">
        <v>0</v>
      </c>
      <c r="Z619" s="140">
        <v>0</v>
      </c>
      <c r="AB619" s="139">
        <f t="shared" si="38"/>
        <v>0</v>
      </c>
    </row>
    <row r="620" spans="1:28" x14ac:dyDescent="0.2">
      <c r="A620" s="127" t="str">
        <f>'Scenario List'!$A$15</f>
        <v>13- WA Space/ Water Electrification w/NG Backup</v>
      </c>
      <c r="B620" s="128" t="s">
        <v>86</v>
      </c>
      <c r="D620" s="140">
        <v>0</v>
      </c>
      <c r="E620" s="140">
        <v>0</v>
      </c>
      <c r="F620" s="140">
        <v>0</v>
      </c>
      <c r="G620" s="140">
        <v>0</v>
      </c>
      <c r="H620" s="140">
        <v>0</v>
      </c>
      <c r="I620" s="140">
        <v>0</v>
      </c>
      <c r="J620" s="140">
        <v>0</v>
      </c>
      <c r="K620" s="140">
        <v>0</v>
      </c>
      <c r="L620" s="140">
        <v>0</v>
      </c>
      <c r="M620" s="140">
        <v>0</v>
      </c>
      <c r="N620" s="140">
        <v>0</v>
      </c>
      <c r="O620" s="140">
        <v>0</v>
      </c>
      <c r="P620" s="140">
        <v>0</v>
      </c>
      <c r="Q620" s="140">
        <v>0</v>
      </c>
      <c r="R620" s="140">
        <v>0</v>
      </c>
      <c r="S620" s="140">
        <v>0</v>
      </c>
      <c r="T620" s="140">
        <v>0</v>
      </c>
      <c r="U620" s="140">
        <v>0</v>
      </c>
      <c r="V620" s="140">
        <v>0</v>
      </c>
      <c r="W620" s="140">
        <v>0</v>
      </c>
      <c r="X620" s="140">
        <v>0</v>
      </c>
      <c r="Y620" s="140">
        <v>0</v>
      </c>
      <c r="Z620" s="140">
        <v>0</v>
      </c>
      <c r="AB620" s="139">
        <f t="shared" si="38"/>
        <v>0</v>
      </c>
    </row>
    <row r="621" spans="1:28" x14ac:dyDescent="0.2">
      <c r="A621" s="127" t="str">
        <f>'Scenario List'!$A$15</f>
        <v>13- WA Space/ Water Electrification w/NG Backup</v>
      </c>
      <c r="B621" s="128" t="s">
        <v>87</v>
      </c>
      <c r="D621" s="140">
        <v>0</v>
      </c>
      <c r="E621" s="140">
        <v>0</v>
      </c>
      <c r="F621" s="140">
        <v>0</v>
      </c>
      <c r="G621" s="140">
        <v>0</v>
      </c>
      <c r="H621" s="140">
        <v>0</v>
      </c>
      <c r="I621" s="140">
        <v>0</v>
      </c>
      <c r="J621" s="140">
        <v>0</v>
      </c>
      <c r="K621" s="140">
        <v>0</v>
      </c>
      <c r="L621" s="140">
        <v>0</v>
      </c>
      <c r="M621" s="140">
        <v>0</v>
      </c>
      <c r="N621" s="140">
        <v>0</v>
      </c>
      <c r="O621" s="140">
        <v>0</v>
      </c>
      <c r="P621" s="140">
        <v>0</v>
      </c>
      <c r="Q621" s="140">
        <v>0</v>
      </c>
      <c r="R621" s="140">
        <v>0</v>
      </c>
      <c r="S621" s="140">
        <v>0</v>
      </c>
      <c r="T621" s="140">
        <v>0</v>
      </c>
      <c r="U621" s="140">
        <v>0</v>
      </c>
      <c r="V621" s="140">
        <v>0</v>
      </c>
      <c r="W621" s="140">
        <v>0</v>
      </c>
      <c r="X621" s="140">
        <v>0</v>
      </c>
      <c r="Y621" s="140">
        <v>0</v>
      </c>
      <c r="Z621" s="140">
        <v>0</v>
      </c>
      <c r="AB621" s="139">
        <f t="shared" si="38"/>
        <v>0</v>
      </c>
    </row>
    <row r="622" spans="1:28" x14ac:dyDescent="0.2">
      <c r="A622" s="127" t="str">
        <f>'Scenario List'!$A$15</f>
        <v>13- WA Space/ Water Electrification w/NG Backup</v>
      </c>
      <c r="B622" s="128" t="s">
        <v>17</v>
      </c>
      <c r="D622" s="140">
        <v>0</v>
      </c>
      <c r="E622" s="140">
        <v>0</v>
      </c>
      <c r="F622" s="140">
        <v>0</v>
      </c>
      <c r="G622" s="140">
        <v>0</v>
      </c>
      <c r="H622" s="140">
        <v>0</v>
      </c>
      <c r="I622" s="140">
        <v>0</v>
      </c>
      <c r="J622" s="140">
        <v>0</v>
      </c>
      <c r="K622" s="140">
        <v>0</v>
      </c>
      <c r="L622" s="140">
        <v>0</v>
      </c>
      <c r="M622" s="140">
        <v>0</v>
      </c>
      <c r="N622" s="140">
        <v>0</v>
      </c>
      <c r="O622" s="140">
        <v>0</v>
      </c>
      <c r="P622" s="140">
        <v>0</v>
      </c>
      <c r="Q622" s="140">
        <v>0</v>
      </c>
      <c r="R622" s="140">
        <v>0</v>
      </c>
      <c r="S622" s="140">
        <v>0</v>
      </c>
      <c r="T622" s="140">
        <v>0</v>
      </c>
      <c r="U622" s="140">
        <v>0</v>
      </c>
      <c r="V622" s="140">
        <v>0</v>
      </c>
      <c r="W622" s="140">
        <v>0</v>
      </c>
      <c r="X622" s="140">
        <v>0</v>
      </c>
      <c r="Y622" s="140">
        <v>0</v>
      </c>
      <c r="Z622" s="140">
        <v>0</v>
      </c>
      <c r="AB622" s="139">
        <f t="shared" si="38"/>
        <v>0</v>
      </c>
    </row>
    <row r="623" spans="1:28" x14ac:dyDescent="0.2">
      <c r="A623" s="127" t="str">
        <f>'Scenario List'!$A$15</f>
        <v>13- WA Space/ Water Electrification w/NG Backup</v>
      </c>
      <c r="B623" s="128" t="s">
        <v>18</v>
      </c>
      <c r="D623" s="140">
        <v>0.71680910893781091</v>
      </c>
      <c r="E623" s="140">
        <v>0.87930718383529671</v>
      </c>
      <c r="F623" s="140">
        <v>1.0170556455000919</v>
      </c>
      <c r="G623" s="140">
        <v>1.1841264232457136</v>
      </c>
      <c r="H623" s="140">
        <v>1.2813761975387257</v>
      </c>
      <c r="I623" s="140">
        <v>1.3707597055829552</v>
      </c>
      <c r="J623" s="140">
        <v>1.3765041066624848</v>
      </c>
      <c r="K623" s="140">
        <v>1.3675549175113906</v>
      </c>
      <c r="L623" s="140">
        <v>1.4830561569090452</v>
      </c>
      <c r="M623" s="140">
        <v>1.5395209335867541</v>
      </c>
      <c r="N623" s="140">
        <v>1.4454008623522814</v>
      </c>
      <c r="O623" s="140">
        <v>1.4610179214513295</v>
      </c>
      <c r="P623" s="140">
        <v>1.4079904089934985</v>
      </c>
      <c r="Q623" s="140">
        <v>1.4066019581935763</v>
      </c>
      <c r="R623" s="140">
        <v>1.2442283740372595</v>
      </c>
      <c r="S623" s="140">
        <v>1.0893157025736393</v>
      </c>
      <c r="T623" s="140">
        <v>1.0371719979054213</v>
      </c>
      <c r="U623" s="140">
        <v>1.0363299282799723</v>
      </c>
      <c r="V623" s="140">
        <v>0.87671523301184706</v>
      </c>
      <c r="W623" s="140">
        <v>0.92530960084860681</v>
      </c>
      <c r="X623" s="140">
        <v>0.5053113387601833</v>
      </c>
      <c r="Y623" s="140">
        <v>0.57224250159859835</v>
      </c>
      <c r="Z623" s="140">
        <v>0.33922517078545411</v>
      </c>
      <c r="AB623" s="139">
        <f>SUM(C623:Z623)</f>
        <v>25.562931378101936</v>
      </c>
    </row>
    <row r="624" spans="1:28" x14ac:dyDescent="0.2">
      <c r="A624" s="127" t="str">
        <f>'Scenario List'!$A$15</f>
        <v>13- WA Space/ Water Electrification w/NG Backup</v>
      </c>
      <c r="B624" s="128" t="s">
        <v>19</v>
      </c>
      <c r="D624" s="140">
        <v>0.63017419717375944</v>
      </c>
      <c r="E624" s="140">
        <v>0.78925343653708679</v>
      </c>
      <c r="F624" s="140">
        <v>0.92773349160403784</v>
      </c>
      <c r="G624" s="140">
        <v>1.1051153358438257</v>
      </c>
      <c r="H624" s="140">
        <v>1.2098216633663954</v>
      </c>
      <c r="I624" s="140">
        <v>1.3022972086223481</v>
      </c>
      <c r="J624" s="140">
        <v>1.3144302965664245</v>
      </c>
      <c r="K624" s="140">
        <v>1.3105654058208005</v>
      </c>
      <c r="L624" s="140">
        <v>1.4317804414420152</v>
      </c>
      <c r="M624" s="140">
        <v>1.5072436997669225</v>
      </c>
      <c r="N624" s="140">
        <v>1.4384568931292367</v>
      </c>
      <c r="O624" s="140">
        <v>1.465506102461255</v>
      </c>
      <c r="P624" s="140">
        <v>1.412136481400136</v>
      </c>
      <c r="Q624" s="140">
        <v>1.401877122352559</v>
      </c>
      <c r="R624" s="140">
        <v>1.2310586526897183</v>
      </c>
      <c r="S624" s="140">
        <v>1.0640283714585195</v>
      </c>
      <c r="T624" s="140">
        <v>1.0212307864733745</v>
      </c>
      <c r="U624" s="140">
        <v>0.99644000292307311</v>
      </c>
      <c r="V624" s="140">
        <v>0.82845136379583906</v>
      </c>
      <c r="W624" s="140">
        <v>0.86453010129685026</v>
      </c>
      <c r="X624" s="140">
        <v>0.49170840555347795</v>
      </c>
      <c r="Y624" s="140">
        <v>0.55774462581597817</v>
      </c>
      <c r="Z624" s="140">
        <v>0.33468777043749398</v>
      </c>
      <c r="AB624" s="139">
        <f t="shared" si="38"/>
        <v>24.636271856531128</v>
      </c>
    </row>
    <row r="625" spans="1:28" x14ac:dyDescent="0.2">
      <c r="A625" s="127" t="str">
        <f>'Scenario List'!$A$15</f>
        <v>13- WA Space/ Water Electrification w/NG Backup</v>
      </c>
      <c r="B625" s="128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  <c r="AB625" s="139"/>
    </row>
    <row r="626" spans="1:28" x14ac:dyDescent="0.2">
      <c r="A626" s="127" t="str">
        <f>'Scenario List'!$A$15</f>
        <v>13- WA Space/ Water Electrification w/NG Backup</v>
      </c>
      <c r="B626" s="131" t="s">
        <v>31</v>
      </c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  <c r="AB626" s="139"/>
    </row>
    <row r="627" spans="1:28" x14ac:dyDescent="0.2">
      <c r="A627" s="127" t="str">
        <f>'Scenario List'!$A$15</f>
        <v>13- WA Space/ Water Electrification w/NG Backup</v>
      </c>
      <c r="B627" s="128" t="s">
        <v>1</v>
      </c>
      <c r="D627" s="140">
        <v>20.546434188517388</v>
      </c>
      <c r="E627" s="140">
        <v>44.821406541568912</v>
      </c>
      <c r="F627" s="140">
        <v>72.667377601034602</v>
      </c>
      <c r="G627" s="140">
        <v>102.80507977442022</v>
      </c>
      <c r="H627" s="140">
        <v>135.82257010118988</v>
      </c>
      <c r="I627" s="140">
        <v>171.88990794919991</v>
      </c>
      <c r="J627" s="140">
        <v>209.82200812897105</v>
      </c>
      <c r="K627" s="140">
        <v>246.88468772034793</v>
      </c>
      <c r="L627" s="140">
        <v>284.19761290411964</v>
      </c>
      <c r="M627" s="140">
        <v>319.90990602384261</v>
      </c>
      <c r="N627" s="140">
        <v>352.12349793090749</v>
      </c>
      <c r="O627" s="140">
        <v>380.96284617246613</v>
      </c>
      <c r="P627" s="140">
        <v>406.63536926128603</v>
      </c>
      <c r="Q627" s="140">
        <v>429.57238086299867</v>
      </c>
      <c r="R627" s="140">
        <v>450.1813454392327</v>
      </c>
      <c r="S627" s="140">
        <v>466.68167795912319</v>
      </c>
      <c r="T627" s="140">
        <v>481.64205161831865</v>
      </c>
      <c r="U627" s="140">
        <v>494.88116298364838</v>
      </c>
      <c r="V627" s="140">
        <v>507.35274648162613</v>
      </c>
      <c r="W627" s="140">
        <v>519.10679134770737</v>
      </c>
      <c r="X627" s="140">
        <v>525.82182942507416</v>
      </c>
      <c r="Y627" s="140">
        <v>532.48025845533391</v>
      </c>
      <c r="Z627" s="140">
        <v>537.6524623029926</v>
      </c>
      <c r="AB627" s="139">
        <f>Z627/8.76</f>
        <v>61.375851861072213</v>
      </c>
    </row>
    <row r="628" spans="1:28" x14ac:dyDescent="0.2">
      <c r="A628" s="127" t="str">
        <f>'Scenario List'!$A$15</f>
        <v>13- WA Space/ Water Electrification w/NG Backup</v>
      </c>
      <c r="B628" s="128" t="s">
        <v>2</v>
      </c>
      <c r="D628" s="140">
        <v>8.0877082930898307</v>
      </c>
      <c r="E628" s="140">
        <v>17.512031780023548</v>
      </c>
      <c r="F628" s="140">
        <v>28.245288964751392</v>
      </c>
      <c r="G628" s="140">
        <v>39.72211780368491</v>
      </c>
      <c r="H628" s="140">
        <v>52.168565329266443</v>
      </c>
      <c r="I628" s="140">
        <v>65.467634574186775</v>
      </c>
      <c r="J628" s="140">
        <v>79.216232856728169</v>
      </c>
      <c r="K628" s="140">
        <v>92.576488883899657</v>
      </c>
      <c r="L628" s="140">
        <v>106.10412566419382</v>
      </c>
      <c r="M628" s="140">
        <v>119.25057850653469</v>
      </c>
      <c r="N628" s="140">
        <v>130.56464283250747</v>
      </c>
      <c r="O628" s="140">
        <v>140.97688948089404</v>
      </c>
      <c r="P628" s="140">
        <v>150.56381037159332</v>
      </c>
      <c r="Q628" s="140">
        <v>159.44464610759559</v>
      </c>
      <c r="R628" s="140">
        <v>167.66752956957882</v>
      </c>
      <c r="S628" s="140">
        <v>174.29226817852651</v>
      </c>
      <c r="T628" s="140">
        <v>180.41938515906378</v>
      </c>
      <c r="U628" s="140">
        <v>185.91152509477166</v>
      </c>
      <c r="V628" s="140">
        <v>191.05834344297509</v>
      </c>
      <c r="W628" s="140">
        <v>195.96150982151892</v>
      </c>
      <c r="X628" s="140">
        <v>198.35769098573499</v>
      </c>
      <c r="Y628" s="140">
        <v>200.69568879437085</v>
      </c>
      <c r="Z628" s="140">
        <v>202.61152661307375</v>
      </c>
      <c r="AB628" s="139">
        <f>Z628/8.76</f>
        <v>23.129169704688785</v>
      </c>
    </row>
    <row r="629" spans="1:28" x14ac:dyDescent="0.2">
      <c r="A629" s="127" t="str">
        <f>'Scenario List'!$A$15</f>
        <v>13- WA Space/ Water Electrification w/NG Backup</v>
      </c>
      <c r="B629" s="128" t="s">
        <v>4</v>
      </c>
      <c r="D629" s="140">
        <v>28.634142481607221</v>
      </c>
      <c r="E629" s="140">
        <v>62.33343832159246</v>
      </c>
      <c r="F629" s="140">
        <v>100.912666565786</v>
      </c>
      <c r="G629" s="140">
        <v>142.52719757810513</v>
      </c>
      <c r="H629" s="140">
        <v>187.99113543045632</v>
      </c>
      <c r="I629" s="140">
        <v>237.35754252338668</v>
      </c>
      <c r="J629" s="140">
        <v>289.03824098569919</v>
      </c>
      <c r="K629" s="140">
        <v>339.46117660424761</v>
      </c>
      <c r="L629" s="140">
        <v>390.30173856831345</v>
      </c>
      <c r="M629" s="140">
        <v>439.16048453037729</v>
      </c>
      <c r="N629" s="140">
        <v>482.68814076341494</v>
      </c>
      <c r="O629" s="140">
        <v>521.93973565336023</v>
      </c>
      <c r="P629" s="140">
        <v>557.19917963287935</v>
      </c>
      <c r="Q629" s="140">
        <v>589.01702697059432</v>
      </c>
      <c r="R629" s="140">
        <v>617.84887500881155</v>
      </c>
      <c r="S629" s="140">
        <v>640.9739461376497</v>
      </c>
      <c r="T629" s="140">
        <v>662.06143677738237</v>
      </c>
      <c r="U629" s="140">
        <v>680.79268807842004</v>
      </c>
      <c r="V629" s="140">
        <v>698.41108992460124</v>
      </c>
      <c r="W629" s="140">
        <v>715.06830116922629</v>
      </c>
      <c r="X629" s="140">
        <v>724.17952041080912</v>
      </c>
      <c r="Y629" s="140">
        <v>733.17594724970479</v>
      </c>
      <c r="Z629" s="140">
        <v>740.26398891606641</v>
      </c>
      <c r="AB629" s="139">
        <f>Z629/8.76</f>
        <v>84.505021565761012</v>
      </c>
    </row>
    <row r="630" spans="1:28" x14ac:dyDescent="0.2">
      <c r="A630" s="127" t="str">
        <f>'Scenario List'!$A$15</f>
        <v>13- WA Space/ Water Electrification w/NG Backup</v>
      </c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  <c r="AB630" s="139"/>
    </row>
    <row r="631" spans="1:28" x14ac:dyDescent="0.2">
      <c r="A631" s="127" t="str">
        <f>'Scenario List'!$A$15</f>
        <v>13- WA Space/ Water Electrification w/NG Backup</v>
      </c>
      <c r="B631" s="141" t="s">
        <v>32</v>
      </c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  <c r="AB631" s="139"/>
    </row>
    <row r="632" spans="1:28" x14ac:dyDescent="0.2">
      <c r="A632" s="127" t="str">
        <f>'Scenario List'!$A$15</f>
        <v>13- WA Space/ Water Electrification w/NG Backup</v>
      </c>
      <c r="B632" s="128" t="s">
        <v>1</v>
      </c>
      <c r="D632" s="140">
        <v>2.472809924876219</v>
      </c>
      <c r="E632" s="140">
        <v>5.3963152194104858</v>
      </c>
      <c r="F632" s="140">
        <v>8.7467585967812802</v>
      </c>
      <c r="G632" s="140">
        <v>12.37544815108699</v>
      </c>
      <c r="H632" s="140">
        <v>16.351251481560102</v>
      </c>
      <c r="I632" s="140">
        <v>20.701257802525127</v>
      </c>
      <c r="J632" s="140">
        <v>25.263394808571878</v>
      </c>
      <c r="K632" s="140">
        <v>29.727977896483271</v>
      </c>
      <c r="L632" s="140">
        <v>34.223833768063876</v>
      </c>
      <c r="M632" s="140">
        <v>38.540302637305885</v>
      </c>
      <c r="N632" s="140">
        <v>42.411132036065737</v>
      </c>
      <c r="O632" s="140">
        <v>45.888839649558797</v>
      </c>
      <c r="P632" s="140">
        <v>48.985782077612235</v>
      </c>
      <c r="Q632" s="140">
        <v>51.771270368622105</v>
      </c>
      <c r="R632" s="140">
        <v>54.242058077712251</v>
      </c>
      <c r="S632" s="140">
        <v>56.235805360292098</v>
      </c>
      <c r="T632" s="140">
        <v>58.044521794553106</v>
      </c>
      <c r="U632" s="140">
        <v>59.667214569804862</v>
      </c>
      <c r="V632" s="140">
        <v>61.156218886382298</v>
      </c>
      <c r="W632" s="140">
        <v>62.580160440229484</v>
      </c>
      <c r="X632" s="140">
        <v>63.39715180114716</v>
      </c>
      <c r="Y632" s="140">
        <v>64.231300242642092</v>
      </c>
      <c r="Z632" s="140">
        <v>64.839838701080367</v>
      </c>
      <c r="AB632" s="139">
        <f>Z632</f>
        <v>64.839838701080367</v>
      </c>
    </row>
    <row r="633" spans="1:28" x14ac:dyDescent="0.2">
      <c r="A633" s="127" t="str">
        <f>'Scenario List'!$A$15</f>
        <v>13- WA Space/ Water Electrification w/NG Backup</v>
      </c>
      <c r="B633" s="128" t="s">
        <v>2</v>
      </c>
      <c r="D633" s="140">
        <v>0.97337402457079936</v>
      </c>
      <c r="E633" s="140">
        <v>2.1083774675767528</v>
      </c>
      <c r="F633" s="140">
        <v>3.3998023903850529</v>
      </c>
      <c r="G633" s="140">
        <v>4.7816606962371706</v>
      </c>
      <c r="H633" s="140">
        <v>6.2804092905584028</v>
      </c>
      <c r="I633" s="140">
        <v>7.8844790669285825</v>
      </c>
      <c r="J633" s="140">
        <v>9.5379459178427481</v>
      </c>
      <c r="K633" s="140">
        <v>11.147357256890633</v>
      </c>
      <c r="L633" s="140">
        <v>12.777341518565906</v>
      </c>
      <c r="M633" s="140">
        <v>14.366399097917022</v>
      </c>
      <c r="N633" s="140">
        <v>15.725716514090086</v>
      </c>
      <c r="O633" s="140">
        <v>16.981356425381204</v>
      </c>
      <c r="P633" s="140">
        <v>18.137836895586524</v>
      </c>
      <c r="Q633" s="140">
        <v>19.215974420613914</v>
      </c>
      <c r="R633" s="140">
        <v>20.202151796819091</v>
      </c>
      <c r="S633" s="140">
        <v>21.002465989140383</v>
      </c>
      <c r="T633" s="140">
        <v>21.743028663792952</v>
      </c>
      <c r="U633" s="140">
        <v>22.415124455233965</v>
      </c>
      <c r="V633" s="140">
        <v>23.03014215000675</v>
      </c>
      <c r="W633" s="140">
        <v>23.623853374952422</v>
      </c>
      <c r="X633" s="140">
        <v>23.915539337910982</v>
      </c>
      <c r="Y633" s="140">
        <v>24.209245018304141</v>
      </c>
      <c r="Z633" s="140">
        <v>24.434555080988108</v>
      </c>
      <c r="AB633" s="139">
        <f>Z633</f>
        <v>24.434555080988108</v>
      </c>
    </row>
    <row r="634" spans="1:28" x14ac:dyDescent="0.2">
      <c r="A634" s="127" t="str">
        <f>'Scenario List'!$A$15</f>
        <v>13- WA Space/ Water Electrification w/NG Backup</v>
      </c>
      <c r="B634" s="128" t="s">
        <v>4</v>
      </c>
      <c r="D634" s="140">
        <v>3.4461839494470183</v>
      </c>
      <c r="E634" s="140">
        <v>7.504692686987239</v>
      </c>
      <c r="F634" s="140">
        <v>12.146560987166334</v>
      </c>
      <c r="G634" s="140">
        <v>17.15710884732416</v>
      </c>
      <c r="H634" s="140">
        <v>22.631660772118504</v>
      </c>
      <c r="I634" s="140">
        <v>28.585736869453712</v>
      </c>
      <c r="J634" s="140">
        <v>34.801340726414622</v>
      </c>
      <c r="K634" s="140">
        <v>40.875335153373904</v>
      </c>
      <c r="L634" s="140">
        <v>47.001175286629781</v>
      </c>
      <c r="M634" s="140">
        <v>52.90670173522291</v>
      </c>
      <c r="N634" s="140">
        <v>58.136848550155825</v>
      </c>
      <c r="O634" s="140">
        <v>62.870196074939997</v>
      </c>
      <c r="P634" s="140">
        <v>67.123618973198759</v>
      </c>
      <c r="Q634" s="140">
        <v>70.987244789236016</v>
      </c>
      <c r="R634" s="140">
        <v>74.444209874531339</v>
      </c>
      <c r="S634" s="140">
        <v>77.23827134943248</v>
      </c>
      <c r="T634" s="140">
        <v>79.787550458346061</v>
      </c>
      <c r="U634" s="140">
        <v>82.082339025038834</v>
      </c>
      <c r="V634" s="140">
        <v>84.186361036389044</v>
      </c>
      <c r="W634" s="140">
        <v>86.204013815181909</v>
      </c>
      <c r="X634" s="140">
        <v>87.312691139058145</v>
      </c>
      <c r="Y634" s="140">
        <v>88.440545260946237</v>
      </c>
      <c r="Z634" s="140">
        <v>89.274393782068472</v>
      </c>
      <c r="AB634" s="139">
        <f>Z634</f>
        <v>89.274393782068472</v>
      </c>
    </row>
    <row r="637" spans="1:28" x14ac:dyDescent="0.2">
      <c r="A637" s="127" t="str">
        <f>'Scenario List'!$A$16</f>
        <v>14- Combined Electrification</v>
      </c>
      <c r="B637" s="131" t="s">
        <v>11</v>
      </c>
    </row>
    <row r="638" spans="1:28" x14ac:dyDescent="0.2">
      <c r="A638" s="127" t="str">
        <f>'Scenario List'!$A$16</f>
        <v>14- Combined Electrification</v>
      </c>
      <c r="B638" s="128" t="s">
        <v>12</v>
      </c>
      <c r="D638" s="140">
        <v>0</v>
      </c>
      <c r="E638" s="140">
        <v>0</v>
      </c>
      <c r="F638" s="140">
        <v>0</v>
      </c>
      <c r="G638" s="140">
        <v>0</v>
      </c>
      <c r="H638" s="140">
        <v>0</v>
      </c>
      <c r="I638" s="140">
        <v>0</v>
      </c>
      <c r="J638" s="140">
        <v>0</v>
      </c>
      <c r="K638" s="140">
        <v>0</v>
      </c>
      <c r="L638" s="140">
        <v>0</v>
      </c>
      <c r="M638" s="140">
        <v>0</v>
      </c>
      <c r="N638" s="140">
        <v>0</v>
      </c>
      <c r="O638" s="140">
        <v>0</v>
      </c>
      <c r="P638" s="140">
        <v>0</v>
      </c>
      <c r="Q638" s="140">
        <v>0</v>
      </c>
      <c r="R638" s="140">
        <v>0</v>
      </c>
      <c r="S638" s="140">
        <v>0</v>
      </c>
      <c r="T638" s="140">
        <v>0</v>
      </c>
      <c r="U638" s="140">
        <v>0</v>
      </c>
      <c r="V638" s="140">
        <v>0</v>
      </c>
      <c r="W638" s="140">
        <v>0</v>
      </c>
      <c r="X638" s="140">
        <v>0</v>
      </c>
      <c r="Y638" s="140">
        <v>0</v>
      </c>
      <c r="Z638" s="140">
        <v>0</v>
      </c>
      <c r="AB638" s="139">
        <f>SUM(C638:Z638)</f>
        <v>0</v>
      </c>
    </row>
    <row r="639" spans="1:28" x14ac:dyDescent="0.2">
      <c r="A639" s="127" t="str">
        <f>'Scenario List'!$A$16</f>
        <v>14- Combined Electrification</v>
      </c>
      <c r="B639" s="128" t="s">
        <v>13</v>
      </c>
      <c r="D639" s="140">
        <v>0</v>
      </c>
      <c r="E639" s="140">
        <v>0</v>
      </c>
      <c r="F639" s="140">
        <v>0</v>
      </c>
      <c r="G639" s="140">
        <v>0</v>
      </c>
      <c r="H639" s="140">
        <v>0</v>
      </c>
      <c r="I639" s="140">
        <v>0</v>
      </c>
      <c r="J639" s="140">
        <v>0</v>
      </c>
      <c r="K639" s="140">
        <v>0</v>
      </c>
      <c r="L639" s="140">
        <v>0</v>
      </c>
      <c r="M639" s="140">
        <v>0</v>
      </c>
      <c r="N639" s="140">
        <v>0</v>
      </c>
      <c r="O639" s="140">
        <v>0</v>
      </c>
      <c r="P639" s="140">
        <v>0</v>
      </c>
      <c r="Q639" s="140">
        <v>0</v>
      </c>
      <c r="R639" s="140">
        <v>0</v>
      </c>
      <c r="S639" s="140">
        <v>0</v>
      </c>
      <c r="T639" s="140">
        <v>0</v>
      </c>
      <c r="U639" s="140">
        <v>0</v>
      </c>
      <c r="V639" s="140">
        <v>0</v>
      </c>
      <c r="W639" s="140">
        <v>0</v>
      </c>
      <c r="X639" s="140">
        <v>0</v>
      </c>
      <c r="Y639" s="140">
        <v>0</v>
      </c>
      <c r="Z639" s="140">
        <v>0</v>
      </c>
      <c r="AB639" s="139">
        <f t="shared" ref="AB639:AB646" si="39">SUM(C639:Z639)</f>
        <v>0</v>
      </c>
    </row>
    <row r="640" spans="1:28" x14ac:dyDescent="0.2">
      <c r="A640" s="127" t="str">
        <f>'Scenario List'!$A$16</f>
        <v>14- Combined Electrification</v>
      </c>
      <c r="B640" s="128" t="s">
        <v>14</v>
      </c>
      <c r="D640" s="140">
        <v>0</v>
      </c>
      <c r="E640" s="140">
        <v>0</v>
      </c>
      <c r="F640" s="140">
        <v>0</v>
      </c>
      <c r="G640" s="140">
        <v>0</v>
      </c>
      <c r="H640" s="140">
        <v>0</v>
      </c>
      <c r="I640" s="140">
        <v>0</v>
      </c>
      <c r="J640" s="140">
        <v>0</v>
      </c>
      <c r="K640" s="140">
        <v>0</v>
      </c>
      <c r="L640" s="140">
        <v>0</v>
      </c>
      <c r="M640" s="140">
        <v>0</v>
      </c>
      <c r="N640" s="140">
        <v>0</v>
      </c>
      <c r="O640" s="140">
        <v>0</v>
      </c>
      <c r="P640" s="140">
        <v>0</v>
      </c>
      <c r="Q640" s="140">
        <v>0</v>
      </c>
      <c r="R640" s="140">
        <v>0</v>
      </c>
      <c r="S640" s="140">
        <v>0</v>
      </c>
      <c r="T640" s="140">
        <v>0</v>
      </c>
      <c r="U640" s="140">
        <v>0</v>
      </c>
      <c r="V640" s="140">
        <v>0</v>
      </c>
      <c r="W640" s="140">
        <v>0</v>
      </c>
      <c r="X640" s="140">
        <v>0</v>
      </c>
      <c r="Y640" s="140">
        <v>0</v>
      </c>
      <c r="Z640" s="140">
        <v>0</v>
      </c>
      <c r="AB640" s="139">
        <f t="shared" si="39"/>
        <v>0</v>
      </c>
    </row>
    <row r="641" spans="1:28" x14ac:dyDescent="0.2">
      <c r="A641" s="127" t="str">
        <f>'Scenario List'!$A$16</f>
        <v>14- Combined Electrification</v>
      </c>
      <c r="B641" s="128" t="s">
        <v>15</v>
      </c>
      <c r="D641" s="140">
        <v>0</v>
      </c>
      <c r="E641" s="140">
        <v>0</v>
      </c>
      <c r="F641" s="140">
        <v>0</v>
      </c>
      <c r="G641" s="140">
        <v>0</v>
      </c>
      <c r="H641" s="140">
        <v>0</v>
      </c>
      <c r="I641" s="140">
        <v>0</v>
      </c>
      <c r="J641" s="140">
        <v>0</v>
      </c>
      <c r="K641" s="140">
        <v>0</v>
      </c>
      <c r="L641" s="140">
        <v>0</v>
      </c>
      <c r="M641" s="140">
        <v>0</v>
      </c>
      <c r="N641" s="140">
        <v>0</v>
      </c>
      <c r="O641" s="140">
        <v>0</v>
      </c>
      <c r="P641" s="140">
        <v>0</v>
      </c>
      <c r="Q641" s="140">
        <v>0</v>
      </c>
      <c r="R641" s="140">
        <v>0</v>
      </c>
      <c r="S641" s="140">
        <v>0</v>
      </c>
      <c r="T641" s="140">
        <v>0</v>
      </c>
      <c r="U641" s="140">
        <v>0</v>
      </c>
      <c r="V641" s="140">
        <v>0</v>
      </c>
      <c r="W641" s="140">
        <v>0</v>
      </c>
      <c r="X641" s="140">
        <v>0</v>
      </c>
      <c r="Y641" s="140">
        <v>0</v>
      </c>
      <c r="Z641" s="140">
        <v>0</v>
      </c>
      <c r="AB641" s="139">
        <f t="shared" si="39"/>
        <v>0</v>
      </c>
    </row>
    <row r="642" spans="1:28" x14ac:dyDescent="0.2">
      <c r="A642" s="127" t="str">
        <f>'Scenario List'!$A$16</f>
        <v>14- Combined Electrification</v>
      </c>
      <c r="B642" s="128" t="s">
        <v>16</v>
      </c>
      <c r="D642" s="140">
        <v>0</v>
      </c>
      <c r="E642" s="140">
        <v>0</v>
      </c>
      <c r="F642" s="140">
        <v>0</v>
      </c>
      <c r="G642" s="140">
        <v>0</v>
      </c>
      <c r="H642" s="140">
        <v>0</v>
      </c>
      <c r="I642" s="140">
        <v>0</v>
      </c>
      <c r="J642" s="140">
        <v>0</v>
      </c>
      <c r="K642" s="140">
        <v>0</v>
      </c>
      <c r="L642" s="140">
        <v>0</v>
      </c>
      <c r="M642" s="140">
        <v>0</v>
      </c>
      <c r="N642" s="140">
        <v>0</v>
      </c>
      <c r="O642" s="140">
        <v>0</v>
      </c>
      <c r="P642" s="140">
        <v>0</v>
      </c>
      <c r="Q642" s="140">
        <v>0</v>
      </c>
      <c r="R642" s="140">
        <v>0</v>
      </c>
      <c r="S642" s="140">
        <v>0</v>
      </c>
      <c r="T642" s="140">
        <v>50</v>
      </c>
      <c r="U642" s="140">
        <v>51.526908732857798</v>
      </c>
      <c r="V642" s="140">
        <v>0</v>
      </c>
      <c r="W642" s="140">
        <v>0</v>
      </c>
      <c r="X642" s="140">
        <v>50</v>
      </c>
      <c r="Y642" s="140">
        <v>55.650484448742056</v>
      </c>
      <c r="Z642" s="140">
        <v>0</v>
      </c>
      <c r="AB642" s="139">
        <f t="shared" si="39"/>
        <v>207.17739318159985</v>
      </c>
    </row>
    <row r="643" spans="1:28" x14ac:dyDescent="0.2">
      <c r="A643" s="127" t="str">
        <f>'Scenario List'!$A$16</f>
        <v>14- Combined Electrification</v>
      </c>
      <c r="B643" s="128" t="s">
        <v>85</v>
      </c>
      <c r="D643" s="140">
        <v>0</v>
      </c>
      <c r="E643" s="140">
        <v>0</v>
      </c>
      <c r="F643" s="140">
        <v>0</v>
      </c>
      <c r="G643" s="140">
        <v>0</v>
      </c>
      <c r="H643" s="140">
        <v>0</v>
      </c>
      <c r="I643" s="140">
        <v>0</v>
      </c>
      <c r="J643" s="140">
        <v>0</v>
      </c>
      <c r="K643" s="140">
        <v>0</v>
      </c>
      <c r="L643" s="140">
        <v>0</v>
      </c>
      <c r="M643" s="140">
        <v>0</v>
      </c>
      <c r="N643" s="140">
        <v>0</v>
      </c>
      <c r="O643" s="140">
        <v>0</v>
      </c>
      <c r="P643" s="140">
        <v>0</v>
      </c>
      <c r="Q643" s="140">
        <v>0</v>
      </c>
      <c r="R643" s="140">
        <v>0</v>
      </c>
      <c r="S643" s="140">
        <v>0</v>
      </c>
      <c r="T643" s="140">
        <v>0</v>
      </c>
      <c r="U643" s="140">
        <v>0</v>
      </c>
      <c r="V643" s="140">
        <v>0</v>
      </c>
      <c r="W643" s="140">
        <v>0</v>
      </c>
      <c r="X643" s="140">
        <v>0</v>
      </c>
      <c r="Y643" s="140">
        <v>0</v>
      </c>
      <c r="Z643" s="140">
        <v>0</v>
      </c>
      <c r="AB643" s="139">
        <f t="shared" si="39"/>
        <v>0</v>
      </c>
    </row>
    <row r="644" spans="1:28" x14ac:dyDescent="0.2">
      <c r="A644" s="127" t="str">
        <f>'Scenario List'!$A$16</f>
        <v>14- Combined Electrification</v>
      </c>
      <c r="B644" s="128" t="s">
        <v>86</v>
      </c>
      <c r="D644" s="140">
        <v>0</v>
      </c>
      <c r="E644" s="140">
        <v>0</v>
      </c>
      <c r="F644" s="140">
        <v>0</v>
      </c>
      <c r="G644" s="140">
        <v>0</v>
      </c>
      <c r="H644" s="140">
        <v>0</v>
      </c>
      <c r="I644" s="140">
        <v>0</v>
      </c>
      <c r="J644" s="140">
        <v>0</v>
      </c>
      <c r="K644" s="140">
        <v>0</v>
      </c>
      <c r="L644" s="140">
        <v>0</v>
      </c>
      <c r="M644" s="140">
        <v>0</v>
      </c>
      <c r="N644" s="140">
        <v>0</v>
      </c>
      <c r="O644" s="140">
        <v>0</v>
      </c>
      <c r="P644" s="140">
        <v>0</v>
      </c>
      <c r="Q644" s="140">
        <v>0</v>
      </c>
      <c r="R644" s="140">
        <v>0</v>
      </c>
      <c r="S644" s="140">
        <v>0</v>
      </c>
      <c r="T644" s="140">
        <v>0</v>
      </c>
      <c r="U644" s="140">
        <v>0</v>
      </c>
      <c r="V644" s="140">
        <v>0</v>
      </c>
      <c r="W644" s="140">
        <v>0</v>
      </c>
      <c r="X644" s="140">
        <v>0</v>
      </c>
      <c r="Y644" s="140">
        <v>0</v>
      </c>
      <c r="Z644" s="140">
        <v>0</v>
      </c>
      <c r="AB644" s="139">
        <f t="shared" si="39"/>
        <v>0</v>
      </c>
    </row>
    <row r="645" spans="1:28" x14ac:dyDescent="0.2">
      <c r="A645" s="127" t="str">
        <f>'Scenario List'!$A$16</f>
        <v>14- Combined Electrification</v>
      </c>
      <c r="B645" s="128" t="s">
        <v>87</v>
      </c>
      <c r="D645" s="140">
        <v>0</v>
      </c>
      <c r="E645" s="140">
        <v>0</v>
      </c>
      <c r="F645" s="140">
        <v>0</v>
      </c>
      <c r="G645" s="140">
        <v>0</v>
      </c>
      <c r="H645" s="140">
        <v>0</v>
      </c>
      <c r="I645" s="140">
        <v>0</v>
      </c>
      <c r="J645" s="140">
        <v>0</v>
      </c>
      <c r="K645" s="140">
        <v>0</v>
      </c>
      <c r="L645" s="140">
        <v>0</v>
      </c>
      <c r="M645" s="140">
        <v>0</v>
      </c>
      <c r="N645" s="140">
        <v>0</v>
      </c>
      <c r="O645" s="140">
        <v>0</v>
      </c>
      <c r="P645" s="140">
        <v>5</v>
      </c>
      <c r="Q645" s="140">
        <v>0</v>
      </c>
      <c r="R645" s="140">
        <v>0</v>
      </c>
      <c r="S645" s="140">
        <v>0</v>
      </c>
      <c r="T645" s="140">
        <v>0</v>
      </c>
      <c r="U645" s="140">
        <v>0</v>
      </c>
      <c r="V645" s="140">
        <v>0</v>
      </c>
      <c r="W645" s="140">
        <v>0</v>
      </c>
      <c r="X645" s="140">
        <v>0</v>
      </c>
      <c r="Y645" s="140">
        <v>0</v>
      </c>
      <c r="Z645" s="140">
        <v>0</v>
      </c>
      <c r="AB645" s="139">
        <f t="shared" si="39"/>
        <v>5</v>
      </c>
    </row>
    <row r="646" spans="1:28" x14ac:dyDescent="0.2">
      <c r="A646" s="127" t="str">
        <f>'Scenario List'!$A$16</f>
        <v>14- Combined Electrification</v>
      </c>
      <c r="B646" s="128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  <c r="AB646" s="139">
        <f t="shared" si="39"/>
        <v>0</v>
      </c>
    </row>
    <row r="647" spans="1:28" x14ac:dyDescent="0.2">
      <c r="A647" s="127" t="str">
        <f>'Scenario List'!$A$16</f>
        <v>14- Combined Electrification</v>
      </c>
      <c r="B647" s="128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  <c r="AB647" s="139"/>
    </row>
    <row r="648" spans="1:28" x14ac:dyDescent="0.2">
      <c r="A648" s="127" t="str">
        <f>'Scenario List'!$A$16</f>
        <v>14- Combined Electrification</v>
      </c>
      <c r="B648" s="128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  <c r="AB648" s="139"/>
    </row>
    <row r="649" spans="1:28" x14ac:dyDescent="0.2">
      <c r="A649" s="127" t="str">
        <f>'Scenario List'!$A$16</f>
        <v>14- Combined Electrification</v>
      </c>
      <c r="B649" s="131" t="s">
        <v>9</v>
      </c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  <c r="AB649" s="139"/>
    </row>
    <row r="650" spans="1:28" x14ac:dyDescent="0.2">
      <c r="A650" s="127" t="str">
        <f>'Scenario List'!$A$16</f>
        <v>14- Combined Electrification</v>
      </c>
      <c r="B650" s="128" t="s">
        <v>12</v>
      </c>
      <c r="D650" s="140">
        <v>0</v>
      </c>
      <c r="E650" s="140">
        <v>0</v>
      </c>
      <c r="F650" s="140">
        <v>0</v>
      </c>
      <c r="G650" s="140">
        <v>0</v>
      </c>
      <c r="H650" s="140">
        <v>0</v>
      </c>
      <c r="I650" s="140">
        <v>0</v>
      </c>
      <c r="J650" s="140">
        <v>0</v>
      </c>
      <c r="K650" s="140">
        <v>0</v>
      </c>
      <c r="L650" s="140">
        <v>0</v>
      </c>
      <c r="M650" s="140">
        <v>0</v>
      </c>
      <c r="N650" s="140">
        <v>0</v>
      </c>
      <c r="O650" s="140">
        <v>0</v>
      </c>
      <c r="P650" s="140">
        <v>0</v>
      </c>
      <c r="Q650" s="140">
        <v>0</v>
      </c>
      <c r="R650" s="140">
        <v>0</v>
      </c>
      <c r="S650" s="140">
        <v>0</v>
      </c>
      <c r="T650" s="140">
        <v>0</v>
      </c>
      <c r="U650" s="140">
        <v>0</v>
      </c>
      <c r="V650" s="140">
        <v>0</v>
      </c>
      <c r="W650" s="140">
        <v>0</v>
      </c>
      <c r="X650" s="140">
        <v>0</v>
      </c>
      <c r="Y650" s="140">
        <v>0</v>
      </c>
      <c r="Z650" s="140">
        <v>0</v>
      </c>
      <c r="AB650" s="139">
        <f t="shared" ref="AB650:AB660" si="40">SUM(C650:Z650)</f>
        <v>0</v>
      </c>
    </row>
    <row r="651" spans="1:28" x14ac:dyDescent="0.2">
      <c r="A651" s="127" t="str">
        <f>'Scenario List'!$A$16</f>
        <v>14- Combined Electrification</v>
      </c>
      <c r="B651" s="128" t="s">
        <v>13</v>
      </c>
      <c r="D651" s="140">
        <v>0</v>
      </c>
      <c r="E651" s="140">
        <v>0.66473348291362344</v>
      </c>
      <c r="F651" s="140">
        <v>0.68964227723279592</v>
      </c>
      <c r="G651" s="140">
        <v>0.71589898207405445</v>
      </c>
      <c r="H651" s="140">
        <v>0.74474658163446983</v>
      </c>
      <c r="I651" s="140">
        <v>0.77630089828909576</v>
      </c>
      <c r="J651" s="140">
        <v>0.80410589762092999</v>
      </c>
      <c r="K651" s="140">
        <v>0.83083714578533918</v>
      </c>
      <c r="L651" s="140">
        <v>0.8647031066002695</v>
      </c>
      <c r="M651" s="140">
        <v>0.89748888614314648</v>
      </c>
      <c r="N651" s="140">
        <v>0.92585303260081953</v>
      </c>
      <c r="O651" s="140">
        <v>0.24928505126105263</v>
      </c>
      <c r="P651" s="140">
        <v>0.23576630906236271</v>
      </c>
      <c r="Q651" s="140">
        <v>0.24612163403694726</v>
      </c>
      <c r="R651" s="140">
        <v>0.26314374492236575</v>
      </c>
      <c r="S651" s="140">
        <v>0.27667692854983689</v>
      </c>
      <c r="T651" s="140">
        <v>0.29108044204191469</v>
      </c>
      <c r="U651" s="140">
        <v>0.2</v>
      </c>
      <c r="V651" s="140">
        <v>0.20810217668412478</v>
      </c>
      <c r="W651" s="140">
        <v>0.33953028192557277</v>
      </c>
      <c r="X651" s="140">
        <v>0.22639501410881591</v>
      </c>
      <c r="Y651" s="140">
        <v>0.23037543911352071</v>
      </c>
      <c r="Z651" s="140">
        <v>0.40747390086902197</v>
      </c>
      <c r="AB651" s="139">
        <f t="shared" si="40"/>
        <v>11.08826121347008</v>
      </c>
    </row>
    <row r="652" spans="1:28" x14ac:dyDescent="0.2">
      <c r="A652" s="127" t="str">
        <f>'Scenario List'!$A$16</f>
        <v>14- Combined Electrification</v>
      </c>
      <c r="B652" s="128" t="s">
        <v>14</v>
      </c>
      <c r="D652" s="140">
        <v>0</v>
      </c>
      <c r="E652" s="140">
        <v>0</v>
      </c>
      <c r="F652" s="140">
        <v>0</v>
      </c>
      <c r="G652" s="140">
        <v>0</v>
      </c>
      <c r="H652" s="140">
        <v>0</v>
      </c>
      <c r="I652" s="140">
        <v>0</v>
      </c>
      <c r="J652" s="140">
        <v>0</v>
      </c>
      <c r="K652" s="140">
        <v>0</v>
      </c>
      <c r="L652" s="140">
        <v>0</v>
      </c>
      <c r="M652" s="140">
        <v>0</v>
      </c>
      <c r="N652" s="140">
        <v>0</v>
      </c>
      <c r="O652" s="140">
        <v>0</v>
      </c>
      <c r="P652" s="140">
        <v>0</v>
      </c>
      <c r="Q652" s="140">
        <v>0</v>
      </c>
      <c r="R652" s="140">
        <v>0</v>
      </c>
      <c r="S652" s="140">
        <v>0</v>
      </c>
      <c r="T652" s="140">
        <v>0</v>
      </c>
      <c r="U652" s="140">
        <v>0.1</v>
      </c>
      <c r="V652" s="140">
        <v>0.10405108834206239</v>
      </c>
      <c r="W652" s="140">
        <v>0</v>
      </c>
      <c r="X652" s="140">
        <v>0.11319750705440795</v>
      </c>
      <c r="Y652" s="140">
        <v>0.11518771955676035</v>
      </c>
      <c r="Z652" s="140">
        <v>0</v>
      </c>
      <c r="AB652" s="139">
        <f t="shared" si="40"/>
        <v>0.43243631495323065</v>
      </c>
    </row>
    <row r="653" spans="1:28" x14ac:dyDescent="0.2">
      <c r="A653" s="127" t="str">
        <f>'Scenario List'!$A$16</f>
        <v>14- Combined Electrification</v>
      </c>
      <c r="B653" s="128" t="s">
        <v>15</v>
      </c>
      <c r="D653" s="140">
        <v>0</v>
      </c>
      <c r="E653" s="140">
        <v>0</v>
      </c>
      <c r="F653" s="140">
        <v>0</v>
      </c>
      <c r="G653" s="140">
        <v>0</v>
      </c>
      <c r="H653" s="140">
        <v>0</v>
      </c>
      <c r="I653" s="140">
        <v>0</v>
      </c>
      <c r="J653" s="140">
        <v>0</v>
      </c>
      <c r="K653" s="140">
        <v>200</v>
      </c>
      <c r="L653" s="140">
        <v>200.00000000000017</v>
      </c>
      <c r="M653" s="140">
        <v>200</v>
      </c>
      <c r="N653" s="140">
        <v>0</v>
      </c>
      <c r="O653" s="140">
        <v>0</v>
      </c>
      <c r="P653" s="140">
        <v>0</v>
      </c>
      <c r="Q653" s="140">
        <v>0</v>
      </c>
      <c r="R653" s="140">
        <v>0</v>
      </c>
      <c r="S653" s="140">
        <v>0</v>
      </c>
      <c r="T653" s="140">
        <v>0</v>
      </c>
      <c r="U653" s="140">
        <v>0</v>
      </c>
      <c r="V653" s="140">
        <v>240</v>
      </c>
      <c r="W653" s="140">
        <v>305</v>
      </c>
      <c r="X653" s="140">
        <v>199.99999999999977</v>
      </c>
      <c r="Y653" s="140">
        <v>200</v>
      </c>
      <c r="Z653" s="140">
        <v>0</v>
      </c>
      <c r="AB653" s="139">
        <f t="shared" si="40"/>
        <v>1545</v>
      </c>
    </row>
    <row r="654" spans="1:28" x14ac:dyDescent="0.2">
      <c r="A654" s="127" t="str">
        <f>'Scenario List'!$A$16</f>
        <v>14- Combined Electrification</v>
      </c>
      <c r="B654" s="128" t="s">
        <v>16</v>
      </c>
      <c r="D654" s="140">
        <v>0</v>
      </c>
      <c r="E654" s="140">
        <v>0</v>
      </c>
      <c r="F654" s="140">
        <v>0</v>
      </c>
      <c r="G654" s="140">
        <v>0</v>
      </c>
      <c r="H654" s="140">
        <v>0</v>
      </c>
      <c r="I654" s="140">
        <v>0</v>
      </c>
      <c r="J654" s="140">
        <v>0</v>
      </c>
      <c r="K654" s="140">
        <v>0</v>
      </c>
      <c r="L654" s="140">
        <v>0</v>
      </c>
      <c r="M654" s="140">
        <v>390.54972830767588</v>
      </c>
      <c r="N654" s="140">
        <v>0</v>
      </c>
      <c r="O654" s="140">
        <v>0</v>
      </c>
      <c r="P654" s="140">
        <v>0</v>
      </c>
      <c r="Q654" s="140">
        <v>0</v>
      </c>
      <c r="R654" s="140">
        <v>0</v>
      </c>
      <c r="S654" s="140">
        <v>0</v>
      </c>
      <c r="T654" s="140">
        <v>98.390699434547855</v>
      </c>
      <c r="U654" s="140">
        <v>154.90420293562272</v>
      </c>
      <c r="V654" s="140">
        <v>141.3311326631374</v>
      </c>
      <c r="W654" s="140">
        <v>50</v>
      </c>
      <c r="X654" s="140">
        <v>54.540063019498355</v>
      </c>
      <c r="Y654" s="140">
        <v>100.1840545348478</v>
      </c>
      <c r="Z654" s="140">
        <v>107.71850032046848</v>
      </c>
      <c r="AB654" s="139">
        <f t="shared" si="40"/>
        <v>1097.6183812157983</v>
      </c>
    </row>
    <row r="655" spans="1:28" x14ac:dyDescent="0.2">
      <c r="A655" s="127" t="str">
        <f>'Scenario List'!$A$16</f>
        <v>14- Combined Electrification</v>
      </c>
      <c r="B655" s="128" t="s">
        <v>85</v>
      </c>
      <c r="D655" s="140">
        <v>0</v>
      </c>
      <c r="E655" s="140">
        <v>0</v>
      </c>
      <c r="F655" s="140">
        <v>0</v>
      </c>
      <c r="G655" s="140">
        <v>0</v>
      </c>
      <c r="H655" s="140">
        <v>0</v>
      </c>
      <c r="I655" s="140">
        <v>0</v>
      </c>
      <c r="J655" s="140">
        <v>0</v>
      </c>
      <c r="K655" s="140">
        <v>0</v>
      </c>
      <c r="L655" s="140">
        <v>0</v>
      </c>
      <c r="M655" s="140">
        <v>0</v>
      </c>
      <c r="N655" s="140">
        <v>0</v>
      </c>
      <c r="O655" s="140">
        <v>0</v>
      </c>
      <c r="P655" s="140">
        <v>0</v>
      </c>
      <c r="Q655" s="140">
        <v>176.57751177456532</v>
      </c>
      <c r="R655" s="140">
        <v>126.73357228833162</v>
      </c>
      <c r="S655" s="140">
        <v>152.55925120512154</v>
      </c>
      <c r="T655" s="140">
        <v>0</v>
      </c>
      <c r="U655" s="140">
        <v>0</v>
      </c>
      <c r="V655" s="140">
        <v>0</v>
      </c>
      <c r="W655" s="140">
        <v>256.34177056549117</v>
      </c>
      <c r="X655" s="140">
        <v>0</v>
      </c>
      <c r="Y655" s="140">
        <v>0</v>
      </c>
      <c r="Z655" s="140">
        <v>0</v>
      </c>
      <c r="AB655" s="139">
        <f t="shared" si="40"/>
        <v>712.21210583350967</v>
      </c>
    </row>
    <row r="656" spans="1:28" x14ac:dyDescent="0.2">
      <c r="A656" s="127" t="str">
        <f>'Scenario List'!$A$16</f>
        <v>14- Combined Electrification</v>
      </c>
      <c r="B656" s="128" t="s">
        <v>86</v>
      </c>
      <c r="D656" s="140">
        <v>0</v>
      </c>
      <c r="E656" s="140">
        <v>0</v>
      </c>
      <c r="F656" s="140">
        <v>0</v>
      </c>
      <c r="G656" s="140">
        <v>0</v>
      </c>
      <c r="H656" s="140">
        <v>0</v>
      </c>
      <c r="I656" s="140">
        <v>0</v>
      </c>
      <c r="J656" s="140">
        <v>0</v>
      </c>
      <c r="K656" s="140">
        <v>0</v>
      </c>
      <c r="L656" s="140">
        <v>20</v>
      </c>
      <c r="M656" s="140">
        <v>20</v>
      </c>
      <c r="N656" s="140">
        <v>0</v>
      </c>
      <c r="O656" s="140">
        <v>0</v>
      </c>
      <c r="P656" s="140">
        <v>0</v>
      </c>
      <c r="Q656" s="140">
        <v>0</v>
      </c>
      <c r="R656" s="140">
        <v>0</v>
      </c>
      <c r="S656" s="140">
        <v>0</v>
      </c>
      <c r="T656" s="140">
        <v>0</v>
      </c>
      <c r="U656" s="140">
        <v>0</v>
      </c>
      <c r="V656" s="140">
        <v>0</v>
      </c>
      <c r="W656" s="140">
        <v>0</v>
      </c>
      <c r="X656" s="140">
        <v>57.6</v>
      </c>
      <c r="Y656" s="140">
        <v>0</v>
      </c>
      <c r="Z656" s="140">
        <v>349.38229135224708</v>
      </c>
      <c r="AB656" s="139">
        <f t="shared" si="40"/>
        <v>446.9822913522471</v>
      </c>
    </row>
    <row r="657" spans="1:28" x14ac:dyDescent="0.2">
      <c r="A657" s="127" t="str">
        <f>'Scenario List'!$A$16</f>
        <v>14- Combined Electrification</v>
      </c>
      <c r="B657" s="128" t="s">
        <v>87</v>
      </c>
      <c r="D657" s="140">
        <v>0</v>
      </c>
      <c r="E657" s="140">
        <v>0</v>
      </c>
      <c r="F657" s="140">
        <v>0</v>
      </c>
      <c r="G657" s="140">
        <v>0</v>
      </c>
      <c r="H657" s="140">
        <v>0</v>
      </c>
      <c r="I657" s="140">
        <v>0</v>
      </c>
      <c r="J657" s="140">
        <v>0</v>
      </c>
      <c r="K657" s="140">
        <v>0</v>
      </c>
      <c r="L657" s="140">
        <v>0</v>
      </c>
      <c r="M657" s="140">
        <v>0</v>
      </c>
      <c r="N657" s="140">
        <v>0</v>
      </c>
      <c r="O657" s="140">
        <v>0</v>
      </c>
      <c r="P657" s="140">
        <v>0</v>
      </c>
      <c r="Q657" s="140">
        <v>0</v>
      </c>
      <c r="R657" s="140">
        <v>0</v>
      </c>
      <c r="S657" s="140">
        <v>0</v>
      </c>
      <c r="T657" s="140">
        <v>0</v>
      </c>
      <c r="U657" s="140">
        <v>0</v>
      </c>
      <c r="V657" s="140">
        <v>0</v>
      </c>
      <c r="W657" s="140">
        <v>0</v>
      </c>
      <c r="X657" s="140">
        <v>0</v>
      </c>
      <c r="Y657" s="140">
        <v>0</v>
      </c>
      <c r="Z657" s="140">
        <v>0</v>
      </c>
      <c r="AB657" s="139">
        <f t="shared" si="40"/>
        <v>0</v>
      </c>
    </row>
    <row r="658" spans="1:28" x14ac:dyDescent="0.2">
      <c r="A658" s="127" t="str">
        <f>'Scenario List'!$A$16</f>
        <v>14- Combined Electrification</v>
      </c>
      <c r="B658" s="128" t="s">
        <v>17</v>
      </c>
      <c r="D658" s="140">
        <v>0</v>
      </c>
      <c r="E658" s="140">
        <v>0</v>
      </c>
      <c r="F658" s="140">
        <v>6.7666466459931875</v>
      </c>
      <c r="G658" s="140">
        <v>0</v>
      </c>
      <c r="H658" s="140">
        <v>0</v>
      </c>
      <c r="I658" s="140">
        <v>0</v>
      </c>
      <c r="J658" s="140">
        <v>0</v>
      </c>
      <c r="K658" s="140">
        <v>0</v>
      </c>
      <c r="L658" s="140">
        <v>0</v>
      </c>
      <c r="M658" s="140">
        <v>0</v>
      </c>
      <c r="N658" s="140">
        <v>0</v>
      </c>
      <c r="O658" s="140">
        <v>0</v>
      </c>
      <c r="P658" s="140">
        <v>0</v>
      </c>
      <c r="Q658" s="140">
        <v>0</v>
      </c>
      <c r="R658" s="140">
        <v>0</v>
      </c>
      <c r="S658" s="140">
        <v>0</v>
      </c>
      <c r="T658" s="140">
        <v>0</v>
      </c>
      <c r="U658" s="140">
        <v>0</v>
      </c>
      <c r="V658" s="140">
        <v>0</v>
      </c>
      <c r="W658" s="140">
        <v>0</v>
      </c>
      <c r="X658" s="140">
        <v>0</v>
      </c>
      <c r="Y658" s="140">
        <v>0</v>
      </c>
      <c r="Z658" s="140">
        <v>0</v>
      </c>
      <c r="AB658" s="139">
        <f t="shared" si="40"/>
        <v>6.7666466459931875</v>
      </c>
    </row>
    <row r="659" spans="1:28" x14ac:dyDescent="0.2">
      <c r="A659" s="127" t="str">
        <f>'Scenario List'!$A$16</f>
        <v>14- Combined Electrification</v>
      </c>
      <c r="B659" s="128" t="s">
        <v>18</v>
      </c>
      <c r="D659" s="140">
        <v>1.4946167659818073</v>
      </c>
      <c r="E659" s="140">
        <v>1.8685745933123539</v>
      </c>
      <c r="F659" s="140">
        <v>2.1111648827976994</v>
      </c>
      <c r="G659" s="140">
        <v>2.4924845057657627</v>
      </c>
      <c r="H659" s="140">
        <v>2.6724717309413402</v>
      </c>
      <c r="I659" s="140">
        <v>2.8460255373264776</v>
      </c>
      <c r="J659" s="140">
        <v>2.8631712384590617</v>
      </c>
      <c r="K659" s="140">
        <v>2.7393374814016056</v>
      </c>
      <c r="L659" s="140">
        <v>3.1335629088711379</v>
      </c>
      <c r="M659" s="140">
        <v>3.3086007931120101</v>
      </c>
      <c r="N659" s="140">
        <v>3.1877643518155807</v>
      </c>
      <c r="O659" s="140">
        <v>3.2663904302054405</v>
      </c>
      <c r="P659" s="140">
        <v>3.2117350004528298</v>
      </c>
      <c r="Q659" s="140">
        <v>3.2528831533446692</v>
      </c>
      <c r="R659" s="140">
        <v>2.9266612116193969</v>
      </c>
      <c r="S659" s="140">
        <v>2.6236445050879524</v>
      </c>
      <c r="T659" s="140">
        <v>2.5124552222012397</v>
      </c>
      <c r="U659" s="140">
        <v>2.5212268102574953</v>
      </c>
      <c r="V659" s="140">
        <v>2.2357114297381102</v>
      </c>
      <c r="W659" s="140">
        <v>2.3056743612135406</v>
      </c>
      <c r="X659" s="140">
        <v>1.4164089966298548</v>
      </c>
      <c r="Y659" s="140">
        <v>1.6281388861760888</v>
      </c>
      <c r="Z659" s="140">
        <v>0.91137917169204741</v>
      </c>
      <c r="AB659" s="139">
        <f t="shared" si="40"/>
        <v>57.530083968403503</v>
      </c>
    </row>
    <row r="660" spans="1:28" x14ac:dyDescent="0.2">
      <c r="A660" s="127" t="str">
        <f>'Scenario List'!$A$16</f>
        <v>14- Combined Electrification</v>
      </c>
      <c r="B660" s="128" t="s">
        <v>19</v>
      </c>
      <c r="D660" s="140">
        <v>1.4141040324522458</v>
      </c>
      <c r="E660" s="140">
        <v>1.7992433473506639</v>
      </c>
      <c r="F660" s="140">
        <v>2.0770361818282579</v>
      </c>
      <c r="G660" s="140">
        <v>2.5191790840493162</v>
      </c>
      <c r="H660" s="140">
        <v>2.7612860558841534</v>
      </c>
      <c r="I660" s="140">
        <v>2.9955582630822501</v>
      </c>
      <c r="J660" s="140">
        <v>3.0635906337415086</v>
      </c>
      <c r="K660" s="140">
        <v>2.9957272093140901</v>
      </c>
      <c r="L660" s="140">
        <v>3.4116100573929273</v>
      </c>
      <c r="M660" s="140">
        <v>3.6571200890163169</v>
      </c>
      <c r="N660" s="140">
        <v>3.5690989521001946</v>
      </c>
      <c r="O660" s="140">
        <v>3.6398023807223936</v>
      </c>
      <c r="P660" s="140">
        <v>3.5498974283916169</v>
      </c>
      <c r="Q660" s="140">
        <v>3.5378793917145757</v>
      </c>
      <c r="R660" s="140">
        <v>3.1303994686589576</v>
      </c>
      <c r="S660" s="140">
        <v>2.70990918961283</v>
      </c>
      <c r="T660" s="140">
        <v>2.572726587255147</v>
      </c>
      <c r="U660" s="140">
        <v>2.5111545557808626</v>
      </c>
      <c r="V660" s="140">
        <v>2.1327540587009182</v>
      </c>
      <c r="W660" s="140">
        <v>2.1951249132167376</v>
      </c>
      <c r="X660" s="140">
        <v>1.3871808757374637</v>
      </c>
      <c r="Y660" s="140">
        <v>1.5840354141182473</v>
      </c>
      <c r="Z660" s="140">
        <v>0.89378169042605293</v>
      </c>
      <c r="AB660" s="139">
        <f t="shared" si="40"/>
        <v>60.108199860547728</v>
      </c>
    </row>
    <row r="661" spans="1:28" x14ac:dyDescent="0.2">
      <c r="A661" s="127" t="str">
        <f>'Scenario List'!$A$16</f>
        <v>14- Combined Electrification</v>
      </c>
      <c r="B661" s="128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  <c r="AB661" s="139"/>
    </row>
    <row r="662" spans="1:28" x14ac:dyDescent="0.2">
      <c r="A662" s="127" t="str">
        <f>'Scenario List'!$A$16</f>
        <v>14- Combined Electrification</v>
      </c>
      <c r="B662" s="132" t="s">
        <v>8</v>
      </c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  <c r="AB662" s="139"/>
    </row>
    <row r="663" spans="1:28" x14ac:dyDescent="0.2">
      <c r="A663" s="127" t="str">
        <f>'Scenario List'!$A$16</f>
        <v>14- Combined Electrification</v>
      </c>
      <c r="B663" s="128" t="s">
        <v>12</v>
      </c>
      <c r="D663" s="140">
        <v>0</v>
      </c>
      <c r="E663" s="140">
        <v>0</v>
      </c>
      <c r="F663" s="140">
        <v>0</v>
      </c>
      <c r="G663" s="140">
        <v>0</v>
      </c>
      <c r="H663" s="140">
        <v>0</v>
      </c>
      <c r="I663" s="140">
        <v>0</v>
      </c>
      <c r="J663" s="140">
        <v>0</v>
      </c>
      <c r="K663" s="140">
        <v>0</v>
      </c>
      <c r="L663" s="140">
        <v>0</v>
      </c>
      <c r="M663" s="140">
        <v>0</v>
      </c>
      <c r="N663" s="140">
        <v>0</v>
      </c>
      <c r="O663" s="140">
        <v>92.770164731981538</v>
      </c>
      <c r="P663" s="140">
        <v>0</v>
      </c>
      <c r="Q663" s="140">
        <v>0</v>
      </c>
      <c r="R663" s="140">
        <v>0</v>
      </c>
      <c r="S663" s="140">
        <v>0</v>
      </c>
      <c r="T663" s="140">
        <v>0</v>
      </c>
      <c r="U663" s="140">
        <v>0</v>
      </c>
      <c r="V663" s="140">
        <v>46.359500000000025</v>
      </c>
      <c r="W663" s="140">
        <v>143.65822943450874</v>
      </c>
      <c r="X663" s="140">
        <v>0</v>
      </c>
      <c r="Y663" s="140">
        <v>0</v>
      </c>
      <c r="Z663" s="140">
        <v>0</v>
      </c>
      <c r="AB663" s="139">
        <f t="shared" ref="AB663:AB673" si="41">SUM(C663:Z663)</f>
        <v>282.78789416649033</v>
      </c>
    </row>
    <row r="664" spans="1:28" x14ac:dyDescent="0.2">
      <c r="A664" s="127" t="str">
        <f>'Scenario List'!$A$16</f>
        <v>14- Combined Electrification</v>
      </c>
      <c r="B664" s="128" t="s">
        <v>13</v>
      </c>
      <c r="D664" s="140">
        <v>0</v>
      </c>
      <c r="E664" s="140">
        <v>0</v>
      </c>
      <c r="F664" s="140">
        <v>0</v>
      </c>
      <c r="G664" s="140">
        <v>0</v>
      </c>
      <c r="H664" s="140">
        <v>0</v>
      </c>
      <c r="I664" s="140">
        <v>0</v>
      </c>
      <c r="J664" s="140">
        <v>0</v>
      </c>
      <c r="K664" s="140">
        <v>0</v>
      </c>
      <c r="L664" s="140">
        <v>0</v>
      </c>
      <c r="M664" s="140">
        <v>0</v>
      </c>
      <c r="N664" s="140">
        <v>0</v>
      </c>
      <c r="O664" s="140">
        <v>0</v>
      </c>
      <c r="P664" s="140">
        <v>0</v>
      </c>
      <c r="Q664" s="140">
        <v>0</v>
      </c>
      <c r="R664" s="140">
        <v>0</v>
      </c>
      <c r="S664" s="140">
        <v>0</v>
      </c>
      <c r="T664" s="140">
        <v>0</v>
      </c>
      <c r="U664" s="140">
        <v>0</v>
      </c>
      <c r="V664" s="140">
        <v>0</v>
      </c>
      <c r="W664" s="140">
        <v>0</v>
      </c>
      <c r="X664" s="140">
        <v>0</v>
      </c>
      <c r="Y664" s="140">
        <v>0</v>
      </c>
      <c r="Z664" s="140">
        <v>0</v>
      </c>
      <c r="AB664" s="139">
        <f t="shared" si="41"/>
        <v>0</v>
      </c>
    </row>
    <row r="665" spans="1:28" x14ac:dyDescent="0.2">
      <c r="A665" s="127" t="str">
        <f>'Scenario List'!$A$16</f>
        <v>14- Combined Electrification</v>
      </c>
      <c r="B665" s="128" t="s">
        <v>14</v>
      </c>
      <c r="D665" s="140">
        <v>0</v>
      </c>
      <c r="E665" s="140">
        <v>0</v>
      </c>
      <c r="F665" s="140">
        <v>0</v>
      </c>
      <c r="G665" s="140">
        <v>0</v>
      </c>
      <c r="H665" s="140">
        <v>0</v>
      </c>
      <c r="I665" s="140">
        <v>0</v>
      </c>
      <c r="J665" s="140">
        <v>0</v>
      </c>
      <c r="K665" s="140">
        <v>0</v>
      </c>
      <c r="L665" s="140">
        <v>0</v>
      </c>
      <c r="M665" s="140">
        <v>0</v>
      </c>
      <c r="N665" s="140">
        <v>0</v>
      </c>
      <c r="O665" s="140">
        <v>0</v>
      </c>
      <c r="P665" s="140">
        <v>0</v>
      </c>
      <c r="Q665" s="140">
        <v>0</v>
      </c>
      <c r="R665" s="140">
        <v>0</v>
      </c>
      <c r="S665" s="140">
        <v>0</v>
      </c>
      <c r="T665" s="140">
        <v>0</v>
      </c>
      <c r="U665" s="140">
        <v>0</v>
      </c>
      <c r="V665" s="140">
        <v>0</v>
      </c>
      <c r="W665" s="140">
        <v>0</v>
      </c>
      <c r="X665" s="140">
        <v>0</v>
      </c>
      <c r="Y665" s="140">
        <v>0</v>
      </c>
      <c r="Z665" s="140">
        <v>0</v>
      </c>
      <c r="AB665" s="139">
        <f t="shared" si="41"/>
        <v>0</v>
      </c>
    </row>
    <row r="666" spans="1:28" x14ac:dyDescent="0.2">
      <c r="A666" s="127" t="str">
        <f>'Scenario List'!$A$16</f>
        <v>14- Combined Electrification</v>
      </c>
      <c r="B666" s="128" t="s">
        <v>15</v>
      </c>
      <c r="D666" s="140">
        <v>0</v>
      </c>
      <c r="E666" s="140">
        <v>0</v>
      </c>
      <c r="F666" s="140">
        <v>0</v>
      </c>
      <c r="G666" s="140">
        <v>0</v>
      </c>
      <c r="H666" s="140">
        <v>0</v>
      </c>
      <c r="I666" s="140">
        <v>0</v>
      </c>
      <c r="J666" s="140">
        <v>0</v>
      </c>
      <c r="K666" s="140">
        <v>0</v>
      </c>
      <c r="L666" s="140">
        <v>0</v>
      </c>
      <c r="M666" s="140">
        <v>0</v>
      </c>
      <c r="N666" s="140">
        <v>0</v>
      </c>
      <c r="O666" s="140">
        <v>0</v>
      </c>
      <c r="P666" s="140">
        <v>0</v>
      </c>
      <c r="Q666" s="140">
        <v>0</v>
      </c>
      <c r="R666" s="140">
        <v>0</v>
      </c>
      <c r="S666" s="140">
        <v>0</v>
      </c>
      <c r="T666" s="140">
        <v>0</v>
      </c>
      <c r="U666" s="140">
        <v>0</v>
      </c>
      <c r="V666" s="140">
        <v>0</v>
      </c>
      <c r="W666" s="140">
        <v>0</v>
      </c>
      <c r="X666" s="140">
        <v>0</v>
      </c>
      <c r="Y666" s="140">
        <v>0</v>
      </c>
      <c r="Z666" s="140">
        <v>0</v>
      </c>
      <c r="AB666" s="139">
        <f t="shared" si="41"/>
        <v>0</v>
      </c>
    </row>
    <row r="667" spans="1:28" x14ac:dyDescent="0.2">
      <c r="A667" s="127" t="str">
        <f>'Scenario List'!$A$16</f>
        <v>14- Combined Electrification</v>
      </c>
      <c r="B667" s="128" t="s">
        <v>16</v>
      </c>
      <c r="D667" s="140">
        <v>0</v>
      </c>
      <c r="E667" s="140">
        <v>0</v>
      </c>
      <c r="F667" s="140">
        <v>0</v>
      </c>
      <c r="G667" s="140">
        <v>0</v>
      </c>
      <c r="H667" s="140">
        <v>0</v>
      </c>
      <c r="I667" s="140">
        <v>0</v>
      </c>
      <c r="J667" s="140">
        <v>0</v>
      </c>
      <c r="K667" s="140">
        <v>0</v>
      </c>
      <c r="L667" s="140">
        <v>0</v>
      </c>
      <c r="M667" s="140">
        <v>0</v>
      </c>
      <c r="N667" s="140">
        <v>0</v>
      </c>
      <c r="O667" s="140">
        <v>0</v>
      </c>
      <c r="P667" s="140">
        <v>0</v>
      </c>
      <c r="Q667" s="140">
        <v>0</v>
      </c>
      <c r="R667" s="140">
        <v>0</v>
      </c>
      <c r="S667" s="140">
        <v>0</v>
      </c>
      <c r="T667" s="140">
        <v>0</v>
      </c>
      <c r="U667" s="140">
        <v>0</v>
      </c>
      <c r="V667" s="140">
        <v>0</v>
      </c>
      <c r="W667" s="140">
        <v>0</v>
      </c>
      <c r="X667" s="140">
        <v>0</v>
      </c>
      <c r="Y667" s="140">
        <v>0</v>
      </c>
      <c r="Z667" s="140">
        <v>93.149286333914802</v>
      </c>
      <c r="AB667" s="139">
        <f t="shared" si="41"/>
        <v>93.149286333914802</v>
      </c>
    </row>
    <row r="668" spans="1:28" x14ac:dyDescent="0.2">
      <c r="A668" s="127" t="str">
        <f>'Scenario List'!$A$16</f>
        <v>14- Combined Electrification</v>
      </c>
      <c r="B668" s="128" t="s">
        <v>85</v>
      </c>
      <c r="D668" s="140">
        <v>0</v>
      </c>
      <c r="E668" s="140">
        <v>0</v>
      </c>
      <c r="F668" s="140">
        <v>0</v>
      </c>
      <c r="G668" s="140">
        <v>0</v>
      </c>
      <c r="H668" s="140">
        <v>0</v>
      </c>
      <c r="I668" s="140">
        <v>0</v>
      </c>
      <c r="J668" s="140">
        <v>0</v>
      </c>
      <c r="K668" s="140">
        <v>0</v>
      </c>
      <c r="L668" s="140">
        <v>0</v>
      </c>
      <c r="M668" s="140">
        <v>0</v>
      </c>
      <c r="N668" s="140">
        <v>0</v>
      </c>
      <c r="O668" s="140">
        <v>0</v>
      </c>
      <c r="P668" s="140">
        <v>0</v>
      </c>
      <c r="Q668" s="140">
        <v>0</v>
      </c>
      <c r="R668" s="140">
        <v>0</v>
      </c>
      <c r="S668" s="140">
        <v>0</v>
      </c>
      <c r="T668" s="140">
        <v>0</v>
      </c>
      <c r="U668" s="140">
        <v>0</v>
      </c>
      <c r="V668" s="140">
        <v>0</v>
      </c>
      <c r="W668" s="140">
        <v>0</v>
      </c>
      <c r="X668" s="140">
        <v>0</v>
      </c>
      <c r="Y668" s="140">
        <v>0</v>
      </c>
      <c r="Z668" s="140">
        <v>0</v>
      </c>
      <c r="AB668" s="139">
        <f t="shared" si="41"/>
        <v>0</v>
      </c>
    </row>
    <row r="669" spans="1:28" x14ac:dyDescent="0.2">
      <c r="A669" s="127" t="str">
        <f>'Scenario List'!$A$16</f>
        <v>14- Combined Electrification</v>
      </c>
      <c r="B669" s="128" t="s">
        <v>86</v>
      </c>
      <c r="D669" s="140">
        <v>0</v>
      </c>
      <c r="E669" s="140">
        <v>0</v>
      </c>
      <c r="F669" s="140">
        <v>0</v>
      </c>
      <c r="G669" s="140">
        <v>0</v>
      </c>
      <c r="H669" s="140">
        <v>0</v>
      </c>
      <c r="I669" s="140">
        <v>0</v>
      </c>
      <c r="J669" s="140">
        <v>0</v>
      </c>
      <c r="K669" s="140">
        <v>0</v>
      </c>
      <c r="L669" s="140">
        <v>0</v>
      </c>
      <c r="M669" s="140">
        <v>0</v>
      </c>
      <c r="N669" s="140">
        <v>0</v>
      </c>
      <c r="O669" s="140">
        <v>0</v>
      </c>
      <c r="P669" s="140">
        <v>0</v>
      </c>
      <c r="Q669" s="140">
        <v>0</v>
      </c>
      <c r="R669" s="140">
        <v>0</v>
      </c>
      <c r="S669" s="140">
        <v>0</v>
      </c>
      <c r="T669" s="140">
        <v>0</v>
      </c>
      <c r="U669" s="140">
        <v>0</v>
      </c>
      <c r="V669" s="140">
        <v>0</v>
      </c>
      <c r="W669" s="140">
        <v>0</v>
      </c>
      <c r="X669" s="140">
        <v>0</v>
      </c>
      <c r="Y669" s="140">
        <v>0</v>
      </c>
      <c r="Z669" s="140">
        <v>0</v>
      </c>
      <c r="AB669" s="139">
        <f t="shared" si="41"/>
        <v>0</v>
      </c>
    </row>
    <row r="670" spans="1:28" x14ac:dyDescent="0.2">
      <c r="A670" s="127" t="str">
        <f>'Scenario List'!$A$16</f>
        <v>14- Combined Electrification</v>
      </c>
      <c r="B670" s="128" t="s">
        <v>87</v>
      </c>
      <c r="D670" s="140">
        <v>0</v>
      </c>
      <c r="E670" s="140">
        <v>0</v>
      </c>
      <c r="F670" s="140">
        <v>0</v>
      </c>
      <c r="G670" s="140">
        <v>0</v>
      </c>
      <c r="H670" s="140">
        <v>0</v>
      </c>
      <c r="I670" s="140">
        <v>0</v>
      </c>
      <c r="J670" s="140">
        <v>0</v>
      </c>
      <c r="K670" s="140">
        <v>0</v>
      </c>
      <c r="L670" s="140">
        <v>0</v>
      </c>
      <c r="M670" s="140">
        <v>0</v>
      </c>
      <c r="N670" s="140">
        <v>0</v>
      </c>
      <c r="O670" s="140">
        <v>0</v>
      </c>
      <c r="P670" s="140">
        <v>0</v>
      </c>
      <c r="Q670" s="140">
        <v>0</v>
      </c>
      <c r="R670" s="140">
        <v>0</v>
      </c>
      <c r="S670" s="140">
        <v>0</v>
      </c>
      <c r="T670" s="140">
        <v>0</v>
      </c>
      <c r="U670" s="140">
        <v>0</v>
      </c>
      <c r="V670" s="140">
        <v>0</v>
      </c>
      <c r="W670" s="140">
        <v>0</v>
      </c>
      <c r="X670" s="140">
        <v>0</v>
      </c>
      <c r="Y670" s="140">
        <v>0</v>
      </c>
      <c r="Z670" s="140">
        <v>0</v>
      </c>
      <c r="AB670" s="139">
        <f t="shared" si="41"/>
        <v>0</v>
      </c>
    </row>
    <row r="671" spans="1:28" x14ac:dyDescent="0.2">
      <c r="A671" s="127" t="str">
        <f>'Scenario List'!$A$16</f>
        <v>14- Combined Electrification</v>
      </c>
      <c r="B671" s="128" t="s">
        <v>17</v>
      </c>
      <c r="D671" s="140">
        <v>0</v>
      </c>
      <c r="E671" s="140">
        <v>0</v>
      </c>
      <c r="F671" s="140">
        <v>0</v>
      </c>
      <c r="G671" s="140">
        <v>0</v>
      </c>
      <c r="H671" s="140">
        <v>0</v>
      </c>
      <c r="I671" s="140">
        <v>0</v>
      </c>
      <c r="J671" s="140">
        <v>0</v>
      </c>
      <c r="K671" s="140">
        <v>0</v>
      </c>
      <c r="L671" s="140">
        <v>0</v>
      </c>
      <c r="M671" s="140">
        <v>0</v>
      </c>
      <c r="N671" s="140">
        <v>0</v>
      </c>
      <c r="O671" s="140">
        <v>0</v>
      </c>
      <c r="P671" s="140">
        <v>0</v>
      </c>
      <c r="Q671" s="140">
        <v>0</v>
      </c>
      <c r="R671" s="140">
        <v>0</v>
      </c>
      <c r="S671" s="140">
        <v>0</v>
      </c>
      <c r="T671" s="140">
        <v>0</v>
      </c>
      <c r="U671" s="140">
        <v>0</v>
      </c>
      <c r="V671" s="140">
        <v>0</v>
      </c>
      <c r="W671" s="140">
        <v>0</v>
      </c>
      <c r="X671" s="140">
        <v>0</v>
      </c>
      <c r="Y671" s="140">
        <v>0</v>
      </c>
      <c r="Z671" s="140">
        <v>0</v>
      </c>
      <c r="AB671" s="139">
        <f t="shared" si="41"/>
        <v>0</v>
      </c>
    </row>
    <row r="672" spans="1:28" x14ac:dyDescent="0.2">
      <c r="A672" s="127" t="str">
        <f>'Scenario List'!$A$16</f>
        <v>14- Combined Electrification</v>
      </c>
      <c r="B672" s="128" t="s">
        <v>18</v>
      </c>
      <c r="D672" s="140">
        <v>0.72189103974173163</v>
      </c>
      <c r="E672" s="140">
        <v>0.88640381032153515</v>
      </c>
      <c r="F672" s="140">
        <v>1.0311139532266482</v>
      </c>
      <c r="G672" s="140">
        <v>1.1975358179601869</v>
      </c>
      <c r="H672" s="140">
        <v>1.2928534624939623</v>
      </c>
      <c r="I672" s="140">
        <v>1.3776908629155935</v>
      </c>
      <c r="J672" s="140">
        <v>1.3767826734497932</v>
      </c>
      <c r="K672" s="140">
        <v>1.3673441515260736</v>
      </c>
      <c r="L672" s="140">
        <v>1.4756692399506317</v>
      </c>
      <c r="M672" s="140">
        <v>1.5261700393760549</v>
      </c>
      <c r="N672" s="140">
        <v>1.428165392667486</v>
      </c>
      <c r="O672" s="140">
        <v>1.4436656279582856</v>
      </c>
      <c r="P672" s="140">
        <v>1.3963245506966437</v>
      </c>
      <c r="Q672" s="140">
        <v>1.4030673604381647</v>
      </c>
      <c r="R672" s="140">
        <v>1.252494186336957</v>
      </c>
      <c r="S672" s="140">
        <v>1.1101987341806705</v>
      </c>
      <c r="T672" s="140">
        <v>1.0709574221221239</v>
      </c>
      <c r="U672" s="140">
        <v>1.0823756583094912</v>
      </c>
      <c r="V672" s="140">
        <v>0.93126261910555641</v>
      </c>
      <c r="W672" s="140">
        <v>0.98471551761745602</v>
      </c>
      <c r="X672" s="140">
        <v>0.56587067669051194</v>
      </c>
      <c r="Y672" s="140">
        <v>0.62689289503531853</v>
      </c>
      <c r="Z672" s="140">
        <v>0.38104152040826733</v>
      </c>
      <c r="AB672" s="139">
        <f>SUM(C672:Z672)</f>
        <v>25.930487212529144</v>
      </c>
    </row>
    <row r="673" spans="1:28" x14ac:dyDescent="0.2">
      <c r="A673" s="127" t="str">
        <f>'Scenario List'!$A$16</f>
        <v>14- Combined Electrification</v>
      </c>
      <c r="B673" s="128" t="s">
        <v>19</v>
      </c>
      <c r="D673" s="140">
        <v>0.63548923739480978</v>
      </c>
      <c r="E673" s="140">
        <v>0.79763246047368286</v>
      </c>
      <c r="F673" s="140">
        <v>0.94373816206121441</v>
      </c>
      <c r="G673" s="140">
        <v>1.1246960932615089</v>
      </c>
      <c r="H673" s="140">
        <v>1.2335861448759826</v>
      </c>
      <c r="I673" s="140">
        <v>1.330224471369867</v>
      </c>
      <c r="J673" s="140">
        <v>1.3461419537178445</v>
      </c>
      <c r="K673" s="140">
        <v>1.3519530911382533</v>
      </c>
      <c r="L673" s="140">
        <v>1.4787893799211602</v>
      </c>
      <c r="M673" s="140">
        <v>1.5616048442487109</v>
      </c>
      <c r="N673" s="140">
        <v>1.4987227938409475</v>
      </c>
      <c r="O673" s="140">
        <v>1.5347520998935522</v>
      </c>
      <c r="P673" s="140">
        <v>1.4944683400948282</v>
      </c>
      <c r="Q673" s="140">
        <v>1.4938808683946689</v>
      </c>
      <c r="R673" s="140">
        <v>1.3265296611288449</v>
      </c>
      <c r="S673" s="140">
        <v>1.1658186299772346</v>
      </c>
      <c r="T673" s="140">
        <v>1.1255989414762304</v>
      </c>
      <c r="U673" s="140">
        <v>1.1046792966713603</v>
      </c>
      <c r="V673" s="140">
        <v>0.92935984837820484</v>
      </c>
      <c r="W673" s="140">
        <v>0.96567343683884488</v>
      </c>
      <c r="X673" s="140">
        <v>0.58407372144871772</v>
      </c>
      <c r="Y673" s="140">
        <v>0.64295524957647743</v>
      </c>
      <c r="Z673" s="140">
        <v>0.40091294921574416</v>
      </c>
      <c r="AB673" s="139">
        <f t="shared" si="41"/>
        <v>26.071281675398691</v>
      </c>
    </row>
    <row r="674" spans="1:28" x14ac:dyDescent="0.2">
      <c r="A674" s="127" t="str">
        <f>'Scenario List'!$A$16</f>
        <v>14- Combined Electrification</v>
      </c>
      <c r="B674" s="128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  <c r="AB674" s="139"/>
    </row>
    <row r="675" spans="1:28" x14ac:dyDescent="0.2">
      <c r="A675" s="127" t="str">
        <f>'Scenario List'!$A$16</f>
        <v>14- Combined Electrification</v>
      </c>
      <c r="B675" s="131" t="s">
        <v>31</v>
      </c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  <c r="AB675" s="139"/>
    </row>
    <row r="676" spans="1:28" x14ac:dyDescent="0.2">
      <c r="A676" s="127" t="str">
        <f>'Scenario List'!$A$16</f>
        <v>14- Combined Electrification</v>
      </c>
      <c r="B676" s="128" t="s">
        <v>1</v>
      </c>
      <c r="D676" s="140">
        <v>21.659013498130616</v>
      </c>
      <c r="E676" s="140">
        <v>47.246729960504005</v>
      </c>
      <c r="F676" s="140">
        <v>76.640319482031956</v>
      </c>
      <c r="G676" s="140">
        <v>108.36368785558487</v>
      </c>
      <c r="H676" s="140">
        <v>143.14354834049152</v>
      </c>
      <c r="I676" s="140">
        <v>181.15835794138948</v>
      </c>
      <c r="J676" s="140">
        <v>221.18534731890222</v>
      </c>
      <c r="K676" s="140">
        <v>260.35548913055851</v>
      </c>
      <c r="L676" s="140">
        <v>299.61002293645356</v>
      </c>
      <c r="M676" s="140">
        <v>337.02684521544217</v>
      </c>
      <c r="N676" s="140">
        <v>370.54451225621614</v>
      </c>
      <c r="O676" s="140">
        <v>400.35987741245538</v>
      </c>
      <c r="P676" s="140">
        <v>426.56947037329684</v>
      </c>
      <c r="Q676" s="140">
        <v>449.48125238542099</v>
      </c>
      <c r="R676" s="140">
        <v>470.48610557071254</v>
      </c>
      <c r="S676" s="140">
        <v>487.25714197639303</v>
      </c>
      <c r="T676" s="140">
        <v>502.44055959901107</v>
      </c>
      <c r="U676" s="140">
        <v>515.85922651991086</v>
      </c>
      <c r="V676" s="140">
        <v>528.46985512462356</v>
      </c>
      <c r="W676" s="140">
        <v>540.33490318883048</v>
      </c>
      <c r="X676" s="140">
        <v>547.1125155391054</v>
      </c>
      <c r="Y676" s="140">
        <v>553.84298071406442</v>
      </c>
      <c r="Z676" s="140">
        <v>559.07644044307972</v>
      </c>
      <c r="AB676" s="139">
        <f>Z676/8.76</f>
        <v>63.821511466104994</v>
      </c>
    </row>
    <row r="677" spans="1:28" x14ac:dyDescent="0.2">
      <c r="A677" s="127" t="str">
        <f>'Scenario List'!$A$16</f>
        <v>14- Combined Electrification</v>
      </c>
      <c r="B677" s="128" t="s">
        <v>2</v>
      </c>
      <c r="D677" s="140">
        <v>8.2016468885697993</v>
      </c>
      <c r="E677" s="140">
        <v>17.766683941440977</v>
      </c>
      <c r="F677" s="140">
        <v>28.710308283160536</v>
      </c>
      <c r="G677" s="140">
        <v>40.41948106605421</v>
      </c>
      <c r="H677" s="140">
        <v>53.122074514783236</v>
      </c>
      <c r="I677" s="140">
        <v>66.689890342589237</v>
      </c>
      <c r="J677" s="140">
        <v>80.715533209907861</v>
      </c>
      <c r="K677" s="140">
        <v>94.407076041668461</v>
      </c>
      <c r="L677" s="140">
        <v>108.27243590613087</v>
      </c>
      <c r="M677" s="140">
        <v>121.76570491075067</v>
      </c>
      <c r="N677" s="140">
        <v>133.44291922971968</v>
      </c>
      <c r="O677" s="140">
        <v>144.23874437796886</v>
      </c>
      <c r="P677" s="140">
        <v>154.25143453735038</v>
      </c>
      <c r="Q677" s="140">
        <v>163.58835949052587</v>
      </c>
      <c r="R677" s="140">
        <v>172.29901489841794</v>
      </c>
      <c r="S677" s="140">
        <v>179.41560748075736</v>
      </c>
      <c r="T677" s="140">
        <v>186.05534032460142</v>
      </c>
      <c r="U677" s="140">
        <v>192.0726792776149</v>
      </c>
      <c r="V677" s="140">
        <v>197.75066945638324</v>
      </c>
      <c r="W677" s="140">
        <v>203.18027911293797</v>
      </c>
      <c r="X677" s="140">
        <v>206.04152438172312</v>
      </c>
      <c r="Y677" s="140">
        <v>208.78761117276542</v>
      </c>
      <c r="Z677" s="140">
        <v>211.02985510693651</v>
      </c>
      <c r="AB677" s="139">
        <f>Z677/8.76</f>
        <v>24.090166108097776</v>
      </c>
    </row>
    <row r="678" spans="1:28" x14ac:dyDescent="0.2">
      <c r="A678" s="127" t="str">
        <f>'Scenario List'!$A$16</f>
        <v>14- Combined Electrification</v>
      </c>
      <c r="B678" s="128" t="s">
        <v>4</v>
      </c>
      <c r="D678" s="140">
        <v>29.860660386700417</v>
      </c>
      <c r="E678" s="140">
        <v>65.013413901944986</v>
      </c>
      <c r="F678" s="140">
        <v>105.35062776519248</v>
      </c>
      <c r="G678" s="140">
        <v>148.78316892163909</v>
      </c>
      <c r="H678" s="140">
        <v>196.26562285527476</v>
      </c>
      <c r="I678" s="140">
        <v>247.84824828397871</v>
      </c>
      <c r="J678" s="140">
        <v>301.90088052881009</v>
      </c>
      <c r="K678" s="140">
        <v>354.76256517222697</v>
      </c>
      <c r="L678" s="140">
        <v>407.88245884258441</v>
      </c>
      <c r="M678" s="140">
        <v>458.79255012619285</v>
      </c>
      <c r="N678" s="140">
        <v>503.98743148593582</v>
      </c>
      <c r="O678" s="140">
        <v>544.5986217904242</v>
      </c>
      <c r="P678" s="140">
        <v>580.82090491064719</v>
      </c>
      <c r="Q678" s="140">
        <v>613.06961187594686</v>
      </c>
      <c r="R678" s="140">
        <v>642.78512046913045</v>
      </c>
      <c r="S678" s="140">
        <v>666.67274945715042</v>
      </c>
      <c r="T678" s="140">
        <v>688.49589992361246</v>
      </c>
      <c r="U678" s="140">
        <v>707.93190579752581</v>
      </c>
      <c r="V678" s="140">
        <v>726.22052458100677</v>
      </c>
      <c r="W678" s="140">
        <v>743.51518230176839</v>
      </c>
      <c r="X678" s="140">
        <v>753.1540399208285</v>
      </c>
      <c r="Y678" s="140">
        <v>762.63059188682985</v>
      </c>
      <c r="Z678" s="140">
        <v>770.10629555001628</v>
      </c>
      <c r="AB678" s="139">
        <f>Z678/8.76</f>
        <v>87.91167757420277</v>
      </c>
    </row>
    <row r="679" spans="1:28" x14ac:dyDescent="0.2">
      <c r="A679" s="127" t="str">
        <f>'Scenario List'!$A$16</f>
        <v>14- Combined Electrification</v>
      </c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  <c r="AB679" s="139"/>
    </row>
    <row r="680" spans="1:28" x14ac:dyDescent="0.2">
      <c r="A680" s="127" t="str">
        <f>'Scenario List'!$A$16</f>
        <v>14- Combined Electrification</v>
      </c>
      <c r="B680" s="141" t="s">
        <v>32</v>
      </c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  <c r="AB680" s="139"/>
    </row>
    <row r="681" spans="1:28" x14ac:dyDescent="0.2">
      <c r="A681" s="127" t="str">
        <f>'Scenario List'!$A$16</f>
        <v>14- Combined Electrification</v>
      </c>
      <c r="B681" s="128" t="s">
        <v>1</v>
      </c>
      <c r="D681" s="140">
        <v>2.6067113665463775</v>
      </c>
      <c r="E681" s="140">
        <v>5.6883143039428736</v>
      </c>
      <c r="F681" s="140">
        <v>9.22496993038569</v>
      </c>
      <c r="G681" s="140">
        <v>13.044581099104823</v>
      </c>
      <c r="H681" s="140">
        <v>17.232600996538846</v>
      </c>
      <c r="I681" s="140">
        <v>21.817487225225339</v>
      </c>
      <c r="J681" s="140">
        <v>26.63158552821503</v>
      </c>
      <c r="K681" s="140">
        <v>31.350029431020992</v>
      </c>
      <c r="L681" s="140">
        <v>36.079837249309833</v>
      </c>
      <c r="M681" s="140">
        <v>40.602420765712459</v>
      </c>
      <c r="N681" s="140">
        <v>44.629831087335013</v>
      </c>
      <c r="O681" s="140">
        <v>48.225307011644773</v>
      </c>
      <c r="P681" s="140">
        <v>51.38716574170418</v>
      </c>
      <c r="Q681" s="140">
        <v>54.170650813544626</v>
      </c>
      <c r="R681" s="140">
        <v>56.688565445162496</v>
      </c>
      <c r="S681" s="140">
        <v>58.715178012616853</v>
      </c>
      <c r="T681" s="140">
        <v>60.551029367393056</v>
      </c>
      <c r="U681" s="140">
        <v>62.196513948933848</v>
      </c>
      <c r="V681" s="140">
        <v>63.701671783552015</v>
      </c>
      <c r="W681" s="140">
        <v>65.139284433602157</v>
      </c>
      <c r="X681" s="140">
        <v>65.964121797424468</v>
      </c>
      <c r="Y681" s="140">
        <v>66.808213481418605</v>
      </c>
      <c r="Z681" s="140">
        <v>67.423528694777232</v>
      </c>
      <c r="AB681" s="139">
        <f>Z681</f>
        <v>67.423528694777232</v>
      </c>
    </row>
    <row r="682" spans="1:28" x14ac:dyDescent="0.2">
      <c r="A682" s="127" t="str">
        <f>'Scenario List'!$A$16</f>
        <v>14- Combined Electrification</v>
      </c>
      <c r="B682" s="128" t="s">
        <v>2</v>
      </c>
      <c r="D682" s="140">
        <v>0.98708679278859446</v>
      </c>
      <c r="E682" s="140">
        <v>2.139036553052756</v>
      </c>
      <c r="F682" s="140">
        <v>3.4557753985661908</v>
      </c>
      <c r="G682" s="140">
        <v>4.8656077435509895</v>
      </c>
      <c r="H682" s="140">
        <v>6.3951992586082413</v>
      </c>
      <c r="I682" s="140">
        <v>8.0316792839989208</v>
      </c>
      <c r="J682" s="140">
        <v>9.71846757568394</v>
      </c>
      <c r="K682" s="140">
        <v>11.367782650892304</v>
      </c>
      <c r="L682" s="140">
        <v>13.03845521519178</v>
      </c>
      <c r="M682" s="140">
        <v>14.669402321525666</v>
      </c>
      <c r="N682" s="140">
        <v>16.072387386768995</v>
      </c>
      <c r="O682" s="140">
        <v>17.374262814641614</v>
      </c>
      <c r="P682" s="140">
        <v>18.582070642631383</v>
      </c>
      <c r="Q682" s="140">
        <v>19.715367108399818</v>
      </c>
      <c r="R682" s="140">
        <v>20.760196457572086</v>
      </c>
      <c r="S682" s="140">
        <v>21.61983565545118</v>
      </c>
      <c r="T682" s="140">
        <v>22.422239130030263</v>
      </c>
      <c r="U682" s="140">
        <v>23.15796725492546</v>
      </c>
      <c r="V682" s="140">
        <v>23.836834056916221</v>
      </c>
      <c r="W682" s="140">
        <v>24.494101555033378</v>
      </c>
      <c r="X682" s="140">
        <v>24.841961796926817</v>
      </c>
      <c r="Y682" s="140">
        <v>25.185346362107133</v>
      </c>
      <c r="Z682" s="140">
        <v>25.449789084263557</v>
      </c>
      <c r="AB682" s="139">
        <f>Z682</f>
        <v>25.449789084263557</v>
      </c>
    </row>
    <row r="683" spans="1:28" x14ac:dyDescent="0.2">
      <c r="A683" s="127" t="str">
        <f>'Scenario List'!$A$16</f>
        <v>14- Combined Electrification</v>
      </c>
      <c r="B683" s="128" t="s">
        <v>4</v>
      </c>
      <c r="D683" s="140">
        <v>3.5937981593349719</v>
      </c>
      <c r="E683" s="140">
        <v>7.8273508569956292</v>
      </c>
      <c r="F683" s="140">
        <v>12.680745328951881</v>
      </c>
      <c r="G683" s="140">
        <v>17.910188842655813</v>
      </c>
      <c r="H683" s="140">
        <v>23.627800255147086</v>
      </c>
      <c r="I683" s="140">
        <v>29.849166509224261</v>
      </c>
      <c r="J683" s="140">
        <v>36.350053103898972</v>
      </c>
      <c r="K683" s="140">
        <v>42.717812081913294</v>
      </c>
      <c r="L683" s="140">
        <v>49.118292464501614</v>
      </c>
      <c r="M683" s="140">
        <v>55.271823087238126</v>
      </c>
      <c r="N683" s="140">
        <v>60.702218474104008</v>
      </c>
      <c r="O683" s="140">
        <v>65.599569826286384</v>
      </c>
      <c r="P683" s="140">
        <v>69.969236384335559</v>
      </c>
      <c r="Q683" s="140">
        <v>73.886017921944443</v>
      </c>
      <c r="R683" s="140">
        <v>77.448761902734589</v>
      </c>
      <c r="S683" s="140">
        <v>80.335013668068029</v>
      </c>
      <c r="T683" s="140">
        <v>82.973268497423319</v>
      </c>
      <c r="U683" s="140">
        <v>85.354481203859308</v>
      </c>
      <c r="V683" s="140">
        <v>87.538505840468233</v>
      </c>
      <c r="W683" s="140">
        <v>89.633385988635538</v>
      </c>
      <c r="X683" s="140">
        <v>90.806083594351293</v>
      </c>
      <c r="Y683" s="140">
        <v>91.99355984352573</v>
      </c>
      <c r="Z683" s="140">
        <v>92.873317779040789</v>
      </c>
      <c r="AB683" s="139">
        <f>Z683</f>
        <v>92.873317779040789</v>
      </c>
    </row>
    <row r="686" spans="1:28" x14ac:dyDescent="0.2">
      <c r="A686" s="127" t="str">
        <f>'Scenario List'!$A$17</f>
        <v>15- Clean Portfolio by 2045</v>
      </c>
      <c r="B686" s="131" t="s">
        <v>11</v>
      </c>
    </row>
    <row r="687" spans="1:28" x14ac:dyDescent="0.2">
      <c r="A687" s="127" t="str">
        <f>'Scenario List'!$A$17</f>
        <v>15- Clean Portfolio by 2045</v>
      </c>
      <c r="B687" s="128" t="s">
        <v>12</v>
      </c>
      <c r="D687" s="140">
        <v>0</v>
      </c>
      <c r="E687" s="140">
        <v>0</v>
      </c>
      <c r="F687" s="140">
        <v>0</v>
      </c>
      <c r="G687" s="140">
        <v>0</v>
      </c>
      <c r="H687" s="140">
        <v>0</v>
      </c>
      <c r="I687" s="140">
        <v>0</v>
      </c>
      <c r="J687" s="140">
        <v>0</v>
      </c>
      <c r="K687" s="140">
        <v>0</v>
      </c>
      <c r="L687" s="140">
        <v>0</v>
      </c>
      <c r="M687" s="140">
        <v>0</v>
      </c>
      <c r="N687" s="140">
        <v>0</v>
      </c>
      <c r="O687" s="140">
        <v>0</v>
      </c>
      <c r="P687" s="140">
        <v>0</v>
      </c>
      <c r="Q687" s="140">
        <v>0</v>
      </c>
      <c r="R687" s="140">
        <v>0</v>
      </c>
      <c r="S687" s="140">
        <v>0</v>
      </c>
      <c r="T687" s="140">
        <v>0</v>
      </c>
      <c r="U687" s="140">
        <v>0</v>
      </c>
      <c r="V687" s="140">
        <v>0</v>
      </c>
      <c r="W687" s="140">
        <v>0</v>
      </c>
      <c r="X687" s="140">
        <v>0</v>
      </c>
      <c r="Y687" s="140">
        <v>0</v>
      </c>
      <c r="Z687" s="140">
        <v>0</v>
      </c>
      <c r="AB687" s="139">
        <f>SUM(C687:Z687)</f>
        <v>0</v>
      </c>
    </row>
    <row r="688" spans="1:28" x14ac:dyDescent="0.2">
      <c r="A688" s="127" t="str">
        <f>'Scenario List'!$A$17</f>
        <v>15- Clean Portfolio by 2045</v>
      </c>
      <c r="B688" s="128" t="s">
        <v>13</v>
      </c>
      <c r="D688" s="140">
        <v>0</v>
      </c>
      <c r="E688" s="140">
        <v>0</v>
      </c>
      <c r="F688" s="140">
        <v>0</v>
      </c>
      <c r="G688" s="140">
        <v>0</v>
      </c>
      <c r="H688" s="140">
        <v>0</v>
      </c>
      <c r="I688" s="140">
        <v>0</v>
      </c>
      <c r="J688" s="140">
        <v>0</v>
      </c>
      <c r="K688" s="140">
        <v>0</v>
      </c>
      <c r="L688" s="140">
        <v>0</v>
      </c>
      <c r="M688" s="140">
        <v>0</v>
      </c>
      <c r="N688" s="140">
        <v>0</v>
      </c>
      <c r="O688" s="140">
        <v>0</v>
      </c>
      <c r="P688" s="140">
        <v>0</v>
      </c>
      <c r="Q688" s="140">
        <v>0</v>
      </c>
      <c r="R688" s="140">
        <v>0</v>
      </c>
      <c r="S688" s="140">
        <v>0</v>
      </c>
      <c r="T688" s="140">
        <v>0</v>
      </c>
      <c r="U688" s="140">
        <v>0</v>
      </c>
      <c r="V688" s="140">
        <v>0</v>
      </c>
      <c r="W688" s="140">
        <v>0</v>
      </c>
      <c r="X688" s="140">
        <v>0</v>
      </c>
      <c r="Y688" s="140">
        <v>0</v>
      </c>
      <c r="Z688" s="140">
        <v>0</v>
      </c>
      <c r="AB688" s="139">
        <f t="shared" ref="AB688:AB695" si="42">SUM(C688:Z688)</f>
        <v>0</v>
      </c>
    </row>
    <row r="689" spans="1:28" x14ac:dyDescent="0.2">
      <c r="A689" s="127" t="str">
        <f>'Scenario List'!$A$17</f>
        <v>15- Clean Portfolio by 2045</v>
      </c>
      <c r="B689" s="128" t="s">
        <v>14</v>
      </c>
      <c r="D689" s="140">
        <v>0</v>
      </c>
      <c r="E689" s="140">
        <v>0</v>
      </c>
      <c r="F689" s="140">
        <v>0</v>
      </c>
      <c r="G689" s="140">
        <v>0</v>
      </c>
      <c r="H689" s="140">
        <v>0</v>
      </c>
      <c r="I689" s="140">
        <v>0</v>
      </c>
      <c r="J689" s="140">
        <v>0</v>
      </c>
      <c r="K689" s="140">
        <v>0</v>
      </c>
      <c r="L689" s="140">
        <v>0</v>
      </c>
      <c r="M689" s="140">
        <v>0</v>
      </c>
      <c r="N689" s="140">
        <v>0</v>
      </c>
      <c r="O689" s="140">
        <v>0</v>
      </c>
      <c r="P689" s="140">
        <v>0</v>
      </c>
      <c r="Q689" s="140">
        <v>0</v>
      </c>
      <c r="R689" s="140">
        <v>0</v>
      </c>
      <c r="S689" s="140">
        <v>0</v>
      </c>
      <c r="T689" s="140">
        <v>0</v>
      </c>
      <c r="U689" s="140">
        <v>0</v>
      </c>
      <c r="V689" s="140">
        <v>0</v>
      </c>
      <c r="W689" s="140">
        <v>0</v>
      </c>
      <c r="X689" s="140">
        <v>0</v>
      </c>
      <c r="Y689" s="140">
        <v>0</v>
      </c>
      <c r="Z689" s="140">
        <v>0</v>
      </c>
      <c r="AB689" s="139">
        <f t="shared" si="42"/>
        <v>0</v>
      </c>
    </row>
    <row r="690" spans="1:28" x14ac:dyDescent="0.2">
      <c r="A690" s="127" t="str">
        <f>'Scenario List'!$A$17</f>
        <v>15- Clean Portfolio by 2045</v>
      </c>
      <c r="B690" s="128" t="s">
        <v>15</v>
      </c>
      <c r="D690" s="140">
        <v>0</v>
      </c>
      <c r="E690" s="140">
        <v>0</v>
      </c>
      <c r="F690" s="140">
        <v>0</v>
      </c>
      <c r="G690" s="140">
        <v>0</v>
      </c>
      <c r="H690" s="140">
        <v>0</v>
      </c>
      <c r="I690" s="140">
        <v>0</v>
      </c>
      <c r="J690" s="140">
        <v>0</v>
      </c>
      <c r="K690" s="140">
        <v>0</v>
      </c>
      <c r="L690" s="140">
        <v>0</v>
      </c>
      <c r="M690" s="140">
        <v>100.00000000000009</v>
      </c>
      <c r="N690" s="140">
        <v>0</v>
      </c>
      <c r="O690" s="140">
        <v>0</v>
      </c>
      <c r="P690" s="140">
        <v>0</v>
      </c>
      <c r="Q690" s="140">
        <v>0</v>
      </c>
      <c r="R690" s="140">
        <v>0</v>
      </c>
      <c r="S690" s="140">
        <v>0</v>
      </c>
      <c r="T690" s="140">
        <v>0</v>
      </c>
      <c r="U690" s="140">
        <v>0</v>
      </c>
      <c r="V690" s="140">
        <v>0</v>
      </c>
      <c r="W690" s="140">
        <v>0</v>
      </c>
      <c r="X690" s="140">
        <v>0</v>
      </c>
      <c r="Y690" s="140">
        <v>0</v>
      </c>
      <c r="Z690" s="140">
        <v>0</v>
      </c>
      <c r="AB690" s="139">
        <f t="shared" si="42"/>
        <v>100.00000000000009</v>
      </c>
    </row>
    <row r="691" spans="1:28" x14ac:dyDescent="0.2">
      <c r="A691" s="127" t="str">
        <f>'Scenario List'!$A$17</f>
        <v>15- Clean Portfolio by 2045</v>
      </c>
      <c r="B691" s="128" t="s">
        <v>16</v>
      </c>
      <c r="D691" s="140">
        <v>0</v>
      </c>
      <c r="E691" s="140">
        <v>0</v>
      </c>
      <c r="F691" s="140">
        <v>0</v>
      </c>
      <c r="G691" s="140">
        <v>0</v>
      </c>
      <c r="H691" s="140">
        <v>0</v>
      </c>
      <c r="I691" s="140">
        <v>0</v>
      </c>
      <c r="J691" s="140">
        <v>0</v>
      </c>
      <c r="K691" s="140">
        <v>0</v>
      </c>
      <c r="L691" s="140">
        <v>0</v>
      </c>
      <c r="M691" s="140">
        <v>0</v>
      </c>
      <c r="N691" s="140">
        <v>0</v>
      </c>
      <c r="O691" s="140">
        <v>0</v>
      </c>
      <c r="P691" s="140">
        <v>0</v>
      </c>
      <c r="Q691" s="140">
        <v>0</v>
      </c>
      <c r="R691" s="140">
        <v>0</v>
      </c>
      <c r="S691" s="140">
        <v>0</v>
      </c>
      <c r="T691" s="140">
        <v>0</v>
      </c>
      <c r="U691" s="140">
        <v>50.564633588037381</v>
      </c>
      <c r="V691" s="140">
        <v>0</v>
      </c>
      <c r="W691" s="140">
        <v>0</v>
      </c>
      <c r="X691" s="140">
        <v>0</v>
      </c>
      <c r="Y691" s="140">
        <v>0</v>
      </c>
      <c r="Z691" s="140">
        <v>0</v>
      </c>
      <c r="AB691" s="139">
        <f t="shared" si="42"/>
        <v>50.564633588037381</v>
      </c>
    </row>
    <row r="692" spans="1:28" x14ac:dyDescent="0.2">
      <c r="A692" s="127" t="str">
        <f>'Scenario List'!$A$17</f>
        <v>15- Clean Portfolio by 2045</v>
      </c>
      <c r="B692" s="128" t="s">
        <v>85</v>
      </c>
      <c r="D692" s="140">
        <v>0</v>
      </c>
      <c r="E692" s="140">
        <v>0</v>
      </c>
      <c r="F692" s="140">
        <v>0</v>
      </c>
      <c r="G692" s="140">
        <v>0</v>
      </c>
      <c r="H692" s="140">
        <v>0</v>
      </c>
      <c r="I692" s="140">
        <v>0</v>
      </c>
      <c r="J692" s="140">
        <v>0</v>
      </c>
      <c r="K692" s="140">
        <v>0</v>
      </c>
      <c r="L692" s="140">
        <v>0</v>
      </c>
      <c r="M692" s="140">
        <v>0</v>
      </c>
      <c r="N692" s="140">
        <v>0</v>
      </c>
      <c r="O692" s="140">
        <v>0</v>
      </c>
      <c r="P692" s="140">
        <v>0</v>
      </c>
      <c r="Q692" s="140">
        <v>113.62304044833574</v>
      </c>
      <c r="R692" s="140">
        <v>0</v>
      </c>
      <c r="S692" s="140">
        <v>74.724942643854661</v>
      </c>
      <c r="T692" s="140">
        <v>0</v>
      </c>
      <c r="U692" s="140">
        <v>0</v>
      </c>
      <c r="V692" s="140">
        <v>74.818788017164195</v>
      </c>
      <c r="W692" s="140">
        <v>0</v>
      </c>
      <c r="X692" s="140">
        <v>0</v>
      </c>
      <c r="Y692" s="140">
        <v>0</v>
      </c>
      <c r="Z692" s="140">
        <v>0</v>
      </c>
      <c r="AB692" s="139">
        <f t="shared" si="42"/>
        <v>263.16677110935461</v>
      </c>
    </row>
    <row r="693" spans="1:28" x14ac:dyDescent="0.2">
      <c r="A693" s="127" t="str">
        <f>'Scenario List'!$A$17</f>
        <v>15- Clean Portfolio by 2045</v>
      </c>
      <c r="B693" s="128" t="s">
        <v>86</v>
      </c>
      <c r="D693" s="140">
        <v>0</v>
      </c>
      <c r="E693" s="140">
        <v>0</v>
      </c>
      <c r="F693" s="140">
        <v>0</v>
      </c>
      <c r="G693" s="140">
        <v>0</v>
      </c>
      <c r="H693" s="140">
        <v>0</v>
      </c>
      <c r="I693" s="140">
        <v>0</v>
      </c>
      <c r="J693" s="140">
        <v>0</v>
      </c>
      <c r="K693" s="140">
        <v>0</v>
      </c>
      <c r="L693" s="140">
        <v>0</v>
      </c>
      <c r="M693" s="140">
        <v>0</v>
      </c>
      <c r="N693" s="140">
        <v>0</v>
      </c>
      <c r="O693" s="140">
        <v>0</v>
      </c>
      <c r="P693" s="140">
        <v>0</v>
      </c>
      <c r="Q693" s="140">
        <v>0</v>
      </c>
      <c r="R693" s="140">
        <v>0</v>
      </c>
      <c r="S693" s="140">
        <v>0</v>
      </c>
      <c r="T693" s="140">
        <v>0</v>
      </c>
      <c r="U693" s="140">
        <v>0</v>
      </c>
      <c r="V693" s="140">
        <v>0</v>
      </c>
      <c r="W693" s="140">
        <v>0</v>
      </c>
      <c r="X693" s="140">
        <v>0</v>
      </c>
      <c r="Y693" s="140">
        <v>20</v>
      </c>
      <c r="Z693" s="140">
        <v>0</v>
      </c>
      <c r="AB693" s="139">
        <f t="shared" si="42"/>
        <v>20</v>
      </c>
    </row>
    <row r="694" spans="1:28" x14ac:dyDescent="0.2">
      <c r="A694" s="127" t="str">
        <f>'Scenario List'!$A$17</f>
        <v>15- Clean Portfolio by 2045</v>
      </c>
      <c r="B694" s="128" t="s">
        <v>87</v>
      </c>
      <c r="D694" s="140">
        <v>0</v>
      </c>
      <c r="E694" s="140">
        <v>0</v>
      </c>
      <c r="F694" s="140">
        <v>0</v>
      </c>
      <c r="G694" s="140">
        <v>0</v>
      </c>
      <c r="H694" s="140">
        <v>0</v>
      </c>
      <c r="I694" s="140">
        <v>0</v>
      </c>
      <c r="J694" s="140">
        <v>0</v>
      </c>
      <c r="K694" s="140">
        <v>0</v>
      </c>
      <c r="L694" s="140">
        <v>0</v>
      </c>
      <c r="M694" s="140">
        <v>0</v>
      </c>
      <c r="N694" s="140">
        <v>0</v>
      </c>
      <c r="O694" s="140">
        <v>0</v>
      </c>
      <c r="P694" s="140">
        <v>0</v>
      </c>
      <c r="Q694" s="140">
        <v>0</v>
      </c>
      <c r="R694" s="140">
        <v>0</v>
      </c>
      <c r="S694" s="140">
        <v>0</v>
      </c>
      <c r="T694" s="140">
        <v>0</v>
      </c>
      <c r="U694" s="140">
        <v>0</v>
      </c>
      <c r="V694" s="140">
        <v>0</v>
      </c>
      <c r="W694" s="140">
        <v>0</v>
      </c>
      <c r="X694" s="140">
        <v>0</v>
      </c>
      <c r="Y694" s="140">
        <v>0</v>
      </c>
      <c r="Z694" s="140">
        <v>0</v>
      </c>
      <c r="AB694" s="139">
        <f t="shared" si="42"/>
        <v>0</v>
      </c>
    </row>
    <row r="695" spans="1:28" x14ac:dyDescent="0.2">
      <c r="A695" s="127" t="str">
        <f>'Scenario List'!$A$17</f>
        <v>15- Clean Portfolio by 2045</v>
      </c>
      <c r="B695" s="128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  <c r="AB695" s="139">
        <f t="shared" si="42"/>
        <v>0</v>
      </c>
    </row>
    <row r="696" spans="1:28" x14ac:dyDescent="0.2">
      <c r="A696" s="127" t="str">
        <f>'Scenario List'!$A$17</f>
        <v>15- Clean Portfolio by 2045</v>
      </c>
      <c r="B696" s="128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  <c r="AB696" s="139"/>
    </row>
    <row r="697" spans="1:28" x14ac:dyDescent="0.2">
      <c r="A697" s="127" t="str">
        <f>'Scenario List'!$A$17</f>
        <v>15- Clean Portfolio by 2045</v>
      </c>
      <c r="B697" s="128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  <c r="AB697" s="139"/>
    </row>
    <row r="698" spans="1:28" x14ac:dyDescent="0.2">
      <c r="A698" s="127" t="str">
        <f>'Scenario List'!$A$17</f>
        <v>15- Clean Portfolio by 2045</v>
      </c>
      <c r="B698" s="131" t="s">
        <v>9</v>
      </c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  <c r="AB698" s="139"/>
    </row>
    <row r="699" spans="1:28" x14ac:dyDescent="0.2">
      <c r="A699" s="127" t="str">
        <f>'Scenario List'!$A$17</f>
        <v>15- Clean Portfolio by 2045</v>
      </c>
      <c r="B699" s="128" t="s">
        <v>12</v>
      </c>
      <c r="D699" s="140">
        <v>0</v>
      </c>
      <c r="E699" s="140">
        <v>0</v>
      </c>
      <c r="F699" s="140">
        <v>0</v>
      </c>
      <c r="G699" s="140">
        <v>0</v>
      </c>
      <c r="H699" s="140">
        <v>0</v>
      </c>
      <c r="I699" s="140">
        <v>0</v>
      </c>
      <c r="J699" s="140">
        <v>0</v>
      </c>
      <c r="K699" s="140">
        <v>0</v>
      </c>
      <c r="L699" s="140">
        <v>0</v>
      </c>
      <c r="M699" s="140">
        <v>0</v>
      </c>
      <c r="N699" s="140">
        <v>0</v>
      </c>
      <c r="O699" s="140">
        <v>0</v>
      </c>
      <c r="P699" s="140">
        <v>0</v>
      </c>
      <c r="Q699" s="140">
        <v>0</v>
      </c>
      <c r="R699" s="140">
        <v>0</v>
      </c>
      <c r="S699" s="140">
        <v>0</v>
      </c>
      <c r="T699" s="140">
        <v>0</v>
      </c>
      <c r="U699" s="140">
        <v>0</v>
      </c>
      <c r="V699" s="140">
        <v>0</v>
      </c>
      <c r="W699" s="140">
        <v>0</v>
      </c>
      <c r="X699" s="140">
        <v>0</v>
      </c>
      <c r="Y699" s="140">
        <v>0</v>
      </c>
      <c r="Z699" s="140">
        <v>0</v>
      </c>
      <c r="AB699" s="139">
        <f t="shared" ref="AB699:AB709" si="43">SUM(C699:Z699)</f>
        <v>0</v>
      </c>
    </row>
    <row r="700" spans="1:28" x14ac:dyDescent="0.2">
      <c r="A700" s="127" t="str">
        <f>'Scenario List'!$A$17</f>
        <v>15- Clean Portfolio by 2045</v>
      </c>
      <c r="B700" s="128" t="s">
        <v>13</v>
      </c>
      <c r="D700" s="140">
        <v>0</v>
      </c>
      <c r="E700" s="140">
        <v>0.66473348291360479</v>
      </c>
      <c r="F700" s="140">
        <v>0.68964227723279592</v>
      </c>
      <c r="G700" s="140">
        <v>0.71589898207405445</v>
      </c>
      <c r="H700" s="140">
        <v>0.74474658163446983</v>
      </c>
      <c r="I700" s="140">
        <v>0.77630089828909576</v>
      </c>
      <c r="J700" s="140">
        <v>0.80410589762092999</v>
      </c>
      <c r="K700" s="140">
        <v>0.83083714578533907</v>
      </c>
      <c r="L700" s="140">
        <v>0.86470310660027006</v>
      </c>
      <c r="M700" s="140">
        <v>0.89748888614452094</v>
      </c>
      <c r="N700" s="140">
        <v>0.92585303260081564</v>
      </c>
      <c r="O700" s="140">
        <v>0.24928505126105255</v>
      </c>
      <c r="P700" s="140">
        <v>0.23576630906236271</v>
      </c>
      <c r="Q700" s="140">
        <v>0.2461216340369474</v>
      </c>
      <c r="R700" s="140">
        <v>0</v>
      </c>
      <c r="S700" s="140">
        <v>0.2</v>
      </c>
      <c r="T700" s="140">
        <v>0.2</v>
      </c>
      <c r="U700" s="140">
        <v>0.2</v>
      </c>
      <c r="V700" s="140">
        <v>0.20709960736162858</v>
      </c>
      <c r="W700" s="140">
        <v>0.2150623201764098</v>
      </c>
      <c r="X700" s="140">
        <v>0.226512902751029</v>
      </c>
      <c r="Y700" s="140">
        <v>0</v>
      </c>
      <c r="Z700" s="140">
        <v>0</v>
      </c>
      <c r="AB700" s="139">
        <f t="shared" si="43"/>
        <v>9.8941581155453253</v>
      </c>
    </row>
    <row r="701" spans="1:28" x14ac:dyDescent="0.2">
      <c r="A701" s="127" t="str">
        <f>'Scenario List'!$A$17</f>
        <v>15- Clean Portfolio by 2045</v>
      </c>
      <c r="B701" s="128" t="s">
        <v>14</v>
      </c>
      <c r="D701" s="140">
        <v>0</v>
      </c>
      <c r="E701" s="140">
        <v>0</v>
      </c>
      <c r="F701" s="140">
        <v>0</v>
      </c>
      <c r="G701" s="140">
        <v>0</v>
      </c>
      <c r="H701" s="140">
        <v>0</v>
      </c>
      <c r="I701" s="140">
        <v>0</v>
      </c>
      <c r="J701" s="140">
        <v>0</v>
      </c>
      <c r="K701" s="140">
        <v>0</v>
      </c>
      <c r="L701" s="140">
        <v>0</v>
      </c>
      <c r="M701" s="140">
        <v>0</v>
      </c>
      <c r="N701" s="140">
        <v>0</v>
      </c>
      <c r="O701" s="140">
        <v>0</v>
      </c>
      <c r="P701" s="140">
        <v>0</v>
      </c>
      <c r="Q701" s="140">
        <v>0</v>
      </c>
      <c r="R701" s="140">
        <v>0</v>
      </c>
      <c r="S701" s="140">
        <v>0.1</v>
      </c>
      <c r="T701" s="140">
        <v>0.10000000000000009</v>
      </c>
      <c r="U701" s="140">
        <v>0.1</v>
      </c>
      <c r="V701" s="140">
        <v>0.10354980368081429</v>
      </c>
      <c r="W701" s="140">
        <v>0.1075311600882049</v>
      </c>
      <c r="X701" s="140">
        <v>0.1132564513755145</v>
      </c>
      <c r="Y701" s="140">
        <v>0</v>
      </c>
      <c r="Z701" s="140">
        <v>0</v>
      </c>
      <c r="AB701" s="139">
        <f t="shared" si="43"/>
        <v>0.62433741514453378</v>
      </c>
    </row>
    <row r="702" spans="1:28" x14ac:dyDescent="0.2">
      <c r="A702" s="127" t="str">
        <f>'Scenario List'!$A$17</f>
        <v>15- Clean Portfolio by 2045</v>
      </c>
      <c r="B702" s="128" t="s">
        <v>15</v>
      </c>
      <c r="D702" s="140">
        <v>0</v>
      </c>
      <c r="E702" s="140">
        <v>0</v>
      </c>
      <c r="F702" s="140">
        <v>0</v>
      </c>
      <c r="G702" s="140">
        <v>0</v>
      </c>
      <c r="H702" s="140">
        <v>0</v>
      </c>
      <c r="I702" s="140">
        <v>0</v>
      </c>
      <c r="J702" s="140">
        <v>0</v>
      </c>
      <c r="K702" s="140">
        <v>200</v>
      </c>
      <c r="L702" s="140">
        <v>0</v>
      </c>
      <c r="M702" s="140">
        <v>100</v>
      </c>
      <c r="N702" s="140">
        <v>0</v>
      </c>
      <c r="O702" s="140">
        <v>0</v>
      </c>
      <c r="P702" s="140">
        <v>0</v>
      </c>
      <c r="Q702" s="140">
        <v>0</v>
      </c>
      <c r="R702" s="140">
        <v>0</v>
      </c>
      <c r="S702" s="140">
        <v>0</v>
      </c>
      <c r="T702" s="140">
        <v>0</v>
      </c>
      <c r="U702" s="140">
        <v>0</v>
      </c>
      <c r="V702" s="140">
        <v>140</v>
      </c>
      <c r="W702" s="140">
        <v>105</v>
      </c>
      <c r="X702" s="140">
        <v>100</v>
      </c>
      <c r="Y702" s="140">
        <v>100</v>
      </c>
      <c r="Z702" s="140">
        <v>200</v>
      </c>
      <c r="AB702" s="139">
        <f t="shared" si="43"/>
        <v>945</v>
      </c>
    </row>
    <row r="703" spans="1:28" x14ac:dyDescent="0.2">
      <c r="A703" s="127" t="str">
        <f>'Scenario List'!$A$17</f>
        <v>15- Clean Portfolio by 2045</v>
      </c>
      <c r="B703" s="128" t="s">
        <v>16</v>
      </c>
      <c r="D703" s="140">
        <v>0</v>
      </c>
      <c r="E703" s="140">
        <v>0</v>
      </c>
      <c r="F703" s="140">
        <v>0</v>
      </c>
      <c r="G703" s="140">
        <v>0</v>
      </c>
      <c r="H703" s="140">
        <v>0</v>
      </c>
      <c r="I703" s="140">
        <v>0</v>
      </c>
      <c r="J703" s="140">
        <v>0</v>
      </c>
      <c r="K703" s="140">
        <v>0</v>
      </c>
      <c r="L703" s="140">
        <v>0</v>
      </c>
      <c r="M703" s="140">
        <v>0</v>
      </c>
      <c r="N703" s="140">
        <v>0</v>
      </c>
      <c r="O703" s="140">
        <v>0</v>
      </c>
      <c r="P703" s="140">
        <v>0</v>
      </c>
      <c r="Q703" s="140">
        <v>0</v>
      </c>
      <c r="R703" s="140">
        <v>0.5</v>
      </c>
      <c r="S703" s="140">
        <v>0</v>
      </c>
      <c r="T703" s="140">
        <v>0</v>
      </c>
      <c r="U703" s="140">
        <v>0</v>
      </c>
      <c r="V703" s="140">
        <v>0</v>
      </c>
      <c r="W703" s="140">
        <v>0</v>
      </c>
      <c r="X703" s="140">
        <v>56.89408743272427</v>
      </c>
      <c r="Y703" s="140">
        <v>0.5</v>
      </c>
      <c r="Z703" s="140">
        <v>0.49999999999999645</v>
      </c>
      <c r="AB703" s="139">
        <f t="shared" si="43"/>
        <v>58.394087432724262</v>
      </c>
    </row>
    <row r="704" spans="1:28" x14ac:dyDescent="0.2">
      <c r="A704" s="127" t="str">
        <f>'Scenario List'!$A$17</f>
        <v>15- Clean Portfolio by 2045</v>
      </c>
      <c r="B704" s="128" t="s">
        <v>85</v>
      </c>
      <c r="D704" s="140">
        <v>0</v>
      </c>
      <c r="E704" s="140">
        <v>0</v>
      </c>
      <c r="F704" s="140">
        <v>0</v>
      </c>
      <c r="G704" s="140">
        <v>0</v>
      </c>
      <c r="H704" s="140">
        <v>0</v>
      </c>
      <c r="I704" s="140">
        <v>0</v>
      </c>
      <c r="J704" s="140">
        <v>0</v>
      </c>
      <c r="K704" s="140">
        <v>0</v>
      </c>
      <c r="L704" s="140">
        <v>0</v>
      </c>
      <c r="M704" s="140">
        <v>0</v>
      </c>
      <c r="N704" s="140">
        <v>0</v>
      </c>
      <c r="O704" s="140">
        <v>0</v>
      </c>
      <c r="P704" s="140">
        <v>0</v>
      </c>
      <c r="Q704" s="140">
        <v>0</v>
      </c>
      <c r="R704" s="140">
        <v>0</v>
      </c>
      <c r="S704" s="140">
        <v>0</v>
      </c>
      <c r="T704" s="140">
        <v>0</v>
      </c>
      <c r="U704" s="140">
        <v>0</v>
      </c>
      <c r="V704" s="140">
        <v>0</v>
      </c>
      <c r="W704" s="140">
        <v>206.45805866961044</v>
      </c>
      <c r="X704" s="140">
        <v>0</v>
      </c>
      <c r="Y704" s="140">
        <v>0</v>
      </c>
      <c r="Z704" s="140">
        <v>328.54681665842043</v>
      </c>
      <c r="AB704" s="139">
        <f t="shared" si="43"/>
        <v>535.00487532803083</v>
      </c>
    </row>
    <row r="705" spans="1:28" x14ac:dyDescent="0.2">
      <c r="A705" s="127" t="str">
        <f>'Scenario List'!$A$17</f>
        <v>15- Clean Portfolio by 2045</v>
      </c>
      <c r="B705" s="128" t="s">
        <v>86</v>
      </c>
      <c r="D705" s="140">
        <v>0</v>
      </c>
      <c r="E705" s="140">
        <v>0</v>
      </c>
      <c r="F705" s="140">
        <v>0</v>
      </c>
      <c r="G705" s="140">
        <v>0</v>
      </c>
      <c r="H705" s="140">
        <v>0</v>
      </c>
      <c r="I705" s="140">
        <v>0</v>
      </c>
      <c r="J705" s="140">
        <v>0</v>
      </c>
      <c r="K705" s="140">
        <v>0</v>
      </c>
      <c r="L705" s="140">
        <v>0</v>
      </c>
      <c r="M705" s="140">
        <v>0</v>
      </c>
      <c r="N705" s="140">
        <v>0</v>
      </c>
      <c r="O705" s="140">
        <v>0</v>
      </c>
      <c r="P705" s="140">
        <v>0</v>
      </c>
      <c r="Q705" s="140">
        <v>0</v>
      </c>
      <c r="R705" s="140">
        <v>0</v>
      </c>
      <c r="S705" s="140">
        <v>0</v>
      </c>
      <c r="T705" s="140">
        <v>0</v>
      </c>
      <c r="U705" s="140">
        <v>0</v>
      </c>
      <c r="V705" s="140">
        <v>0</v>
      </c>
      <c r="W705" s="140">
        <v>0</v>
      </c>
      <c r="X705" s="140">
        <v>0</v>
      </c>
      <c r="Y705" s="140">
        <v>0</v>
      </c>
      <c r="Z705" s="140">
        <v>20</v>
      </c>
      <c r="AB705" s="139">
        <f t="shared" si="43"/>
        <v>20</v>
      </c>
    </row>
    <row r="706" spans="1:28" x14ac:dyDescent="0.2">
      <c r="A706" s="127" t="str">
        <f>'Scenario List'!$A$17</f>
        <v>15- Clean Portfolio by 2045</v>
      </c>
      <c r="B706" s="128" t="s">
        <v>87</v>
      </c>
      <c r="D706" s="140">
        <v>0</v>
      </c>
      <c r="E706" s="140">
        <v>0</v>
      </c>
      <c r="F706" s="140">
        <v>0</v>
      </c>
      <c r="G706" s="140">
        <v>0</v>
      </c>
      <c r="H706" s="140">
        <v>0</v>
      </c>
      <c r="I706" s="140">
        <v>0</v>
      </c>
      <c r="J706" s="140">
        <v>0</v>
      </c>
      <c r="K706" s="140">
        <v>0</v>
      </c>
      <c r="L706" s="140">
        <v>0</v>
      </c>
      <c r="M706" s="140">
        <v>0</v>
      </c>
      <c r="N706" s="140">
        <v>0</v>
      </c>
      <c r="O706" s="140">
        <v>0</v>
      </c>
      <c r="P706" s="140">
        <v>0</v>
      </c>
      <c r="Q706" s="140">
        <v>0</v>
      </c>
      <c r="R706" s="140">
        <v>0</v>
      </c>
      <c r="S706" s="140">
        <v>0</v>
      </c>
      <c r="T706" s="140">
        <v>0</v>
      </c>
      <c r="U706" s="140">
        <v>0</v>
      </c>
      <c r="V706" s="140">
        <v>0</v>
      </c>
      <c r="W706" s="140">
        <v>0</v>
      </c>
      <c r="X706" s="140">
        <v>0</v>
      </c>
      <c r="Y706" s="140">
        <v>0</v>
      </c>
      <c r="Z706" s="140">
        <v>0</v>
      </c>
      <c r="AB706" s="139">
        <f t="shared" si="43"/>
        <v>0</v>
      </c>
    </row>
    <row r="707" spans="1:28" x14ac:dyDescent="0.2">
      <c r="A707" s="127" t="str">
        <f>'Scenario List'!$A$17</f>
        <v>15- Clean Portfolio by 2045</v>
      </c>
      <c r="B707" s="128" t="s">
        <v>17</v>
      </c>
      <c r="D707" s="140">
        <v>0</v>
      </c>
      <c r="E707" s="140">
        <v>0</v>
      </c>
      <c r="F707" s="140">
        <v>6.7666466459931875</v>
      </c>
      <c r="G707" s="140">
        <v>0</v>
      </c>
      <c r="H707" s="140">
        <v>0</v>
      </c>
      <c r="I707" s="140">
        <v>0</v>
      </c>
      <c r="J707" s="140">
        <v>0</v>
      </c>
      <c r="K707" s="140">
        <v>0</v>
      </c>
      <c r="L707" s="140">
        <v>0</v>
      </c>
      <c r="M707" s="140">
        <v>0</v>
      </c>
      <c r="N707" s="140">
        <v>0</v>
      </c>
      <c r="O707" s="140">
        <v>0</v>
      </c>
      <c r="P707" s="140">
        <v>0</v>
      </c>
      <c r="Q707" s="140">
        <v>0</v>
      </c>
      <c r="R707" s="140">
        <v>0</v>
      </c>
      <c r="S707" s="140">
        <v>0</v>
      </c>
      <c r="T707" s="140">
        <v>0</v>
      </c>
      <c r="U707" s="140">
        <v>0</v>
      </c>
      <c r="V707" s="140">
        <v>0</v>
      </c>
      <c r="W707" s="140">
        <v>0</v>
      </c>
      <c r="X707" s="140">
        <v>0</v>
      </c>
      <c r="Y707" s="140">
        <v>0</v>
      </c>
      <c r="Z707" s="140">
        <v>0</v>
      </c>
      <c r="AB707" s="139">
        <f t="shared" si="43"/>
        <v>6.7666466459931875</v>
      </c>
    </row>
    <row r="708" spans="1:28" x14ac:dyDescent="0.2">
      <c r="A708" s="127" t="str">
        <f>'Scenario List'!$A$17</f>
        <v>15- Clean Portfolio by 2045</v>
      </c>
      <c r="B708" s="128" t="s">
        <v>18</v>
      </c>
      <c r="D708" s="140">
        <v>1.4925743315086899</v>
      </c>
      <c r="E708" s="140">
        <v>1.8639317256497645</v>
      </c>
      <c r="F708" s="140">
        <v>2.1033289728379927</v>
      </c>
      <c r="G708" s="140">
        <v>2.4807947160375194</v>
      </c>
      <c r="H708" s="140">
        <v>2.6562987410212813</v>
      </c>
      <c r="I708" s="140">
        <v>2.8244948942595851</v>
      </c>
      <c r="J708" s="140">
        <v>2.8364275077868282</v>
      </c>
      <c r="K708" s="140">
        <v>2.7067127032829141</v>
      </c>
      <c r="L708" s="140">
        <v>3.0954378755780922</v>
      </c>
      <c r="M708" s="140">
        <v>3.2648931543009034</v>
      </c>
      <c r="N708" s="140">
        <v>3.1424273073512268</v>
      </c>
      <c r="O708" s="140">
        <v>3.2182182670290942</v>
      </c>
      <c r="P708" s="140">
        <v>3.1613428487756678</v>
      </c>
      <c r="Q708" s="140">
        <v>3.200052387328526</v>
      </c>
      <c r="R708" s="140">
        <v>2.8770852147779067</v>
      </c>
      <c r="S708" s="140">
        <v>2.5744478983976506</v>
      </c>
      <c r="T708" s="140">
        <v>2.4655365913044278</v>
      </c>
      <c r="U708" s="140">
        <v>2.4754173635047749</v>
      </c>
      <c r="V708" s="140">
        <v>2.1954986537517627</v>
      </c>
      <c r="W708" s="140">
        <v>2.2676699670411509</v>
      </c>
      <c r="X708" s="140">
        <v>1.3830339534849543</v>
      </c>
      <c r="Y708" s="140">
        <v>1.5897583051002329</v>
      </c>
      <c r="Z708" s="140">
        <v>0.88325230913697084</v>
      </c>
      <c r="AB708" s="139">
        <f t="shared" si="43"/>
        <v>56.758635689247917</v>
      </c>
    </row>
    <row r="709" spans="1:28" x14ac:dyDescent="0.2">
      <c r="A709" s="127" t="str">
        <f>'Scenario List'!$A$17</f>
        <v>15- Clean Portfolio by 2045</v>
      </c>
      <c r="B709" s="128" t="s">
        <v>19</v>
      </c>
      <c r="D709" s="140">
        <v>1.399560853415869</v>
      </c>
      <c r="E709" s="140">
        <v>1.7801321959571033</v>
      </c>
      <c r="F709" s="140">
        <v>2.0527449358993297</v>
      </c>
      <c r="G709" s="140">
        <v>2.4895859265113414</v>
      </c>
      <c r="H709" s="140">
        <v>2.7261197123430536</v>
      </c>
      <c r="I709" s="140">
        <v>2.9528817672022249</v>
      </c>
      <c r="J709" s="140">
        <v>3.016297454883837</v>
      </c>
      <c r="K709" s="140">
        <v>2.9447798562121754</v>
      </c>
      <c r="L709" s="140">
        <v>3.3602169346630397</v>
      </c>
      <c r="M709" s="140">
        <v>3.6068080901497339</v>
      </c>
      <c r="N709" s="140">
        <v>3.5255529980128628</v>
      </c>
      <c r="O709" s="140">
        <v>3.6006782976930403</v>
      </c>
      <c r="P709" s="140">
        <v>3.5132501555902635</v>
      </c>
      <c r="Q709" s="140">
        <v>3.5022016458224243</v>
      </c>
      <c r="R709" s="140">
        <v>3.1006663486598214</v>
      </c>
      <c r="S709" s="140">
        <v>2.6808663138735866</v>
      </c>
      <c r="T709" s="140">
        <v>2.5449334630758642</v>
      </c>
      <c r="U709" s="140">
        <v>2.483220976601217</v>
      </c>
      <c r="V709" s="140">
        <v>2.1091048434590931</v>
      </c>
      <c r="W709" s="140">
        <v>2.1722340533662035</v>
      </c>
      <c r="X709" s="140">
        <v>1.3671694268718824</v>
      </c>
      <c r="Y709" s="140">
        <v>1.565123133092051</v>
      </c>
      <c r="Z709" s="140">
        <v>0.88233806423194494</v>
      </c>
      <c r="AB709" s="139">
        <f t="shared" si="43"/>
        <v>59.376467447587963</v>
      </c>
    </row>
    <row r="710" spans="1:28" x14ac:dyDescent="0.2">
      <c r="A710" s="127" t="str">
        <f>'Scenario List'!$A$17</f>
        <v>15- Clean Portfolio by 2045</v>
      </c>
      <c r="B710" s="128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  <c r="AB710" s="139"/>
    </row>
    <row r="711" spans="1:28" x14ac:dyDescent="0.2">
      <c r="A711" s="127" t="str">
        <f>'Scenario List'!$A$17</f>
        <v>15- Clean Portfolio by 2045</v>
      </c>
      <c r="B711" s="132" t="s">
        <v>8</v>
      </c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  <c r="AB711" s="139"/>
    </row>
    <row r="712" spans="1:28" x14ac:dyDescent="0.2">
      <c r="A712" s="127" t="str">
        <f>'Scenario List'!$A$17</f>
        <v>15- Clean Portfolio by 2045</v>
      </c>
      <c r="B712" s="128" t="s">
        <v>12</v>
      </c>
      <c r="D712" s="140">
        <v>0</v>
      </c>
      <c r="E712" s="140">
        <v>0</v>
      </c>
      <c r="F712" s="140">
        <v>0</v>
      </c>
      <c r="G712" s="140">
        <v>0</v>
      </c>
      <c r="H712" s="140">
        <v>0</v>
      </c>
      <c r="I712" s="140">
        <v>0</v>
      </c>
      <c r="J712" s="140">
        <v>0</v>
      </c>
      <c r="K712" s="140">
        <v>0</v>
      </c>
      <c r="L712" s="140">
        <v>0</v>
      </c>
      <c r="M712" s="140">
        <v>0</v>
      </c>
      <c r="N712" s="140">
        <v>0</v>
      </c>
      <c r="O712" s="140">
        <v>0</v>
      </c>
      <c r="P712" s="140">
        <v>0</v>
      </c>
      <c r="Q712" s="140">
        <v>0</v>
      </c>
      <c r="R712" s="140">
        <v>0</v>
      </c>
      <c r="S712" s="140">
        <v>0</v>
      </c>
      <c r="T712" s="140">
        <v>0</v>
      </c>
      <c r="U712" s="140">
        <v>0</v>
      </c>
      <c r="V712" s="140">
        <v>0</v>
      </c>
      <c r="W712" s="140">
        <v>0</v>
      </c>
      <c r="X712" s="140">
        <v>0</v>
      </c>
      <c r="Y712" s="140">
        <v>0</v>
      </c>
      <c r="Z712" s="140">
        <v>0</v>
      </c>
      <c r="AB712" s="139">
        <f t="shared" ref="AB712:AB722" si="44">SUM(C712:Z712)</f>
        <v>0</v>
      </c>
    </row>
    <row r="713" spans="1:28" x14ac:dyDescent="0.2">
      <c r="A713" s="127" t="str">
        <f>'Scenario List'!$A$17</f>
        <v>15- Clean Portfolio by 2045</v>
      </c>
      <c r="B713" s="128" t="s">
        <v>13</v>
      </c>
      <c r="D713" s="140">
        <v>0</v>
      </c>
      <c r="E713" s="140">
        <v>0</v>
      </c>
      <c r="F713" s="140">
        <v>0</v>
      </c>
      <c r="G713" s="140">
        <v>0</v>
      </c>
      <c r="H713" s="140">
        <v>0</v>
      </c>
      <c r="I713" s="140">
        <v>0</v>
      </c>
      <c r="J713" s="140">
        <v>0</v>
      </c>
      <c r="K713" s="140">
        <v>0</v>
      </c>
      <c r="L713" s="140">
        <v>0</v>
      </c>
      <c r="M713" s="140">
        <v>0</v>
      </c>
      <c r="N713" s="140">
        <v>0</v>
      </c>
      <c r="O713" s="140">
        <v>0</v>
      </c>
      <c r="P713" s="140">
        <v>0</v>
      </c>
      <c r="Q713" s="140">
        <v>0</v>
      </c>
      <c r="R713" s="140">
        <v>0</v>
      </c>
      <c r="S713" s="140">
        <v>0</v>
      </c>
      <c r="T713" s="140">
        <v>0</v>
      </c>
      <c r="U713" s="140">
        <v>0</v>
      </c>
      <c r="V713" s="140">
        <v>0</v>
      </c>
      <c r="W713" s="140">
        <v>0</v>
      </c>
      <c r="X713" s="140">
        <v>0</v>
      </c>
      <c r="Y713" s="140">
        <v>0</v>
      </c>
      <c r="Z713" s="140">
        <v>0</v>
      </c>
      <c r="AB713" s="139">
        <f t="shared" si="44"/>
        <v>0</v>
      </c>
    </row>
    <row r="714" spans="1:28" x14ac:dyDescent="0.2">
      <c r="A714" s="127" t="str">
        <f>'Scenario List'!$A$17</f>
        <v>15- Clean Portfolio by 2045</v>
      </c>
      <c r="B714" s="128" t="s">
        <v>14</v>
      </c>
      <c r="D714" s="140">
        <v>0</v>
      </c>
      <c r="E714" s="140">
        <v>0</v>
      </c>
      <c r="F714" s="140">
        <v>0</v>
      </c>
      <c r="G714" s="140">
        <v>0</v>
      </c>
      <c r="H714" s="140">
        <v>0</v>
      </c>
      <c r="I714" s="140">
        <v>0</v>
      </c>
      <c r="J714" s="140">
        <v>0</v>
      </c>
      <c r="K714" s="140">
        <v>0</v>
      </c>
      <c r="L714" s="140">
        <v>0</v>
      </c>
      <c r="M714" s="140">
        <v>0</v>
      </c>
      <c r="N714" s="140">
        <v>0</v>
      </c>
      <c r="O714" s="140">
        <v>0</v>
      </c>
      <c r="P714" s="140">
        <v>0</v>
      </c>
      <c r="Q714" s="140">
        <v>0</v>
      </c>
      <c r="R714" s="140">
        <v>0</v>
      </c>
      <c r="S714" s="140">
        <v>0</v>
      </c>
      <c r="T714" s="140">
        <v>0</v>
      </c>
      <c r="U714" s="140">
        <v>0</v>
      </c>
      <c r="V714" s="140">
        <v>0</v>
      </c>
      <c r="W714" s="140">
        <v>0</v>
      </c>
      <c r="X714" s="140">
        <v>0</v>
      </c>
      <c r="Y714" s="140">
        <v>0</v>
      </c>
      <c r="Z714" s="140">
        <v>0</v>
      </c>
      <c r="AB714" s="139">
        <f t="shared" si="44"/>
        <v>0</v>
      </c>
    </row>
    <row r="715" spans="1:28" x14ac:dyDescent="0.2">
      <c r="A715" s="127" t="str">
        <f>'Scenario List'!$A$17</f>
        <v>15- Clean Portfolio by 2045</v>
      </c>
      <c r="B715" s="128" t="s">
        <v>15</v>
      </c>
      <c r="D715" s="140">
        <v>0</v>
      </c>
      <c r="E715" s="140">
        <v>0</v>
      </c>
      <c r="F715" s="140">
        <v>0</v>
      </c>
      <c r="G715" s="140">
        <v>0</v>
      </c>
      <c r="H715" s="140">
        <v>0</v>
      </c>
      <c r="I715" s="140">
        <v>0</v>
      </c>
      <c r="J715" s="140">
        <v>0</v>
      </c>
      <c r="K715" s="140">
        <v>0</v>
      </c>
      <c r="L715" s="140">
        <v>0</v>
      </c>
      <c r="M715" s="140">
        <v>0</v>
      </c>
      <c r="N715" s="140">
        <v>0</v>
      </c>
      <c r="O715" s="140">
        <v>0</v>
      </c>
      <c r="P715" s="140">
        <v>0</v>
      </c>
      <c r="Q715" s="140">
        <v>0</v>
      </c>
      <c r="R715" s="140">
        <v>0</v>
      </c>
      <c r="S715" s="140">
        <v>0</v>
      </c>
      <c r="T715" s="140">
        <v>0</v>
      </c>
      <c r="U715" s="140">
        <v>0</v>
      </c>
      <c r="V715" s="140">
        <v>0</v>
      </c>
      <c r="W715" s="140">
        <v>99.999999999999929</v>
      </c>
      <c r="X715" s="140">
        <v>100.00000000000009</v>
      </c>
      <c r="Y715" s="140">
        <v>0</v>
      </c>
      <c r="Z715" s="140">
        <v>0</v>
      </c>
      <c r="AB715" s="139">
        <f t="shared" si="44"/>
        <v>200</v>
      </c>
    </row>
    <row r="716" spans="1:28" x14ac:dyDescent="0.2">
      <c r="A716" s="127" t="str">
        <f>'Scenario List'!$A$17</f>
        <v>15- Clean Portfolio by 2045</v>
      </c>
      <c r="B716" s="128" t="s">
        <v>16</v>
      </c>
      <c r="D716" s="140">
        <v>0</v>
      </c>
      <c r="E716" s="140">
        <v>0</v>
      </c>
      <c r="F716" s="140">
        <v>0</v>
      </c>
      <c r="G716" s="140">
        <v>0</v>
      </c>
      <c r="H716" s="140">
        <v>0</v>
      </c>
      <c r="I716" s="140">
        <v>0</v>
      </c>
      <c r="J716" s="140">
        <v>0</v>
      </c>
      <c r="K716" s="140">
        <v>0</v>
      </c>
      <c r="L716" s="140">
        <v>0</v>
      </c>
      <c r="M716" s="140">
        <v>0</v>
      </c>
      <c r="N716" s="140">
        <v>0</v>
      </c>
      <c r="O716" s="140">
        <v>0</v>
      </c>
      <c r="P716" s="140">
        <v>0</v>
      </c>
      <c r="Q716" s="140">
        <v>0</v>
      </c>
      <c r="R716" s="140">
        <v>0</v>
      </c>
      <c r="S716" s="140">
        <v>0</v>
      </c>
      <c r="T716" s="140">
        <v>0</v>
      </c>
      <c r="U716" s="140">
        <v>0</v>
      </c>
      <c r="V716" s="140">
        <v>0</v>
      </c>
      <c r="W716" s="140">
        <v>0</v>
      </c>
      <c r="X716" s="140">
        <v>0</v>
      </c>
      <c r="Y716" s="140">
        <v>0</v>
      </c>
      <c r="Z716" s="140">
        <v>0</v>
      </c>
      <c r="AB716" s="139">
        <f t="shared" si="44"/>
        <v>0</v>
      </c>
    </row>
    <row r="717" spans="1:28" x14ac:dyDescent="0.2">
      <c r="A717" s="127" t="str">
        <f>'Scenario List'!$A$17</f>
        <v>15- Clean Portfolio by 2045</v>
      </c>
      <c r="B717" s="128" t="s">
        <v>85</v>
      </c>
      <c r="D717" s="140">
        <v>0</v>
      </c>
      <c r="E717" s="140">
        <v>0</v>
      </c>
      <c r="F717" s="140">
        <v>0</v>
      </c>
      <c r="G717" s="140">
        <v>0</v>
      </c>
      <c r="H717" s="140">
        <v>0</v>
      </c>
      <c r="I717" s="140">
        <v>0</v>
      </c>
      <c r="J717" s="140">
        <v>0</v>
      </c>
      <c r="K717" s="140">
        <v>0</v>
      </c>
      <c r="L717" s="140">
        <v>0</v>
      </c>
      <c r="M717" s="140">
        <v>0</v>
      </c>
      <c r="N717" s="140">
        <v>0</v>
      </c>
      <c r="O717" s="140">
        <v>0</v>
      </c>
      <c r="P717" s="140">
        <v>0</v>
      </c>
      <c r="Q717" s="140">
        <v>0</v>
      </c>
      <c r="R717" s="140">
        <v>0</v>
      </c>
      <c r="S717" s="140">
        <v>0</v>
      </c>
      <c r="T717" s="140">
        <v>0</v>
      </c>
      <c r="U717" s="140">
        <v>0</v>
      </c>
      <c r="V717" s="140">
        <v>0</v>
      </c>
      <c r="W717" s="140">
        <v>127.82835356261467</v>
      </c>
      <c r="X717" s="140">
        <v>0</v>
      </c>
      <c r="Y717" s="140">
        <v>0</v>
      </c>
      <c r="Z717" s="140">
        <v>155.54984492395326</v>
      </c>
      <c r="AB717" s="139">
        <f t="shared" si="44"/>
        <v>283.37819848656795</v>
      </c>
    </row>
    <row r="718" spans="1:28" x14ac:dyDescent="0.2">
      <c r="A718" s="127" t="str">
        <f>'Scenario List'!$A$17</f>
        <v>15- Clean Portfolio by 2045</v>
      </c>
      <c r="B718" s="128" t="s">
        <v>86</v>
      </c>
      <c r="D718" s="140">
        <v>0</v>
      </c>
      <c r="E718" s="140">
        <v>0</v>
      </c>
      <c r="F718" s="140">
        <v>0</v>
      </c>
      <c r="G718" s="140">
        <v>0</v>
      </c>
      <c r="H718" s="140">
        <v>0</v>
      </c>
      <c r="I718" s="140">
        <v>0</v>
      </c>
      <c r="J718" s="140">
        <v>0</v>
      </c>
      <c r="K718" s="140">
        <v>0</v>
      </c>
      <c r="L718" s="140">
        <v>0</v>
      </c>
      <c r="M718" s="140">
        <v>0</v>
      </c>
      <c r="N718" s="140">
        <v>0</v>
      </c>
      <c r="O718" s="140">
        <v>0</v>
      </c>
      <c r="P718" s="140">
        <v>0</v>
      </c>
      <c r="Q718" s="140">
        <v>0</v>
      </c>
      <c r="R718" s="140">
        <v>0</v>
      </c>
      <c r="S718" s="140">
        <v>0</v>
      </c>
      <c r="T718" s="140">
        <v>0</v>
      </c>
      <c r="U718" s="140">
        <v>0</v>
      </c>
      <c r="V718" s="140">
        <v>0</v>
      </c>
      <c r="W718" s="140">
        <v>0</v>
      </c>
      <c r="X718" s="140">
        <v>0</v>
      </c>
      <c r="Y718" s="140">
        <v>0</v>
      </c>
      <c r="Z718" s="140">
        <v>57.6</v>
      </c>
      <c r="AB718" s="139">
        <f t="shared" si="44"/>
        <v>57.6</v>
      </c>
    </row>
    <row r="719" spans="1:28" x14ac:dyDescent="0.2">
      <c r="A719" s="127" t="str">
        <f>'Scenario List'!$A$17</f>
        <v>15- Clean Portfolio by 2045</v>
      </c>
      <c r="B719" s="128" t="s">
        <v>87</v>
      </c>
      <c r="D719" s="140">
        <v>0</v>
      </c>
      <c r="E719" s="140">
        <v>0</v>
      </c>
      <c r="F719" s="140">
        <v>0</v>
      </c>
      <c r="G719" s="140">
        <v>0</v>
      </c>
      <c r="H719" s="140">
        <v>0</v>
      </c>
      <c r="I719" s="140">
        <v>0</v>
      </c>
      <c r="J719" s="140">
        <v>0</v>
      </c>
      <c r="K719" s="140">
        <v>0</v>
      </c>
      <c r="L719" s="140">
        <v>0</v>
      </c>
      <c r="M719" s="140">
        <v>0</v>
      </c>
      <c r="N719" s="140">
        <v>0</v>
      </c>
      <c r="O719" s="140">
        <v>0</v>
      </c>
      <c r="P719" s="140">
        <v>0</v>
      </c>
      <c r="Q719" s="140">
        <v>0</v>
      </c>
      <c r="R719" s="140">
        <v>0</v>
      </c>
      <c r="S719" s="140">
        <v>0</v>
      </c>
      <c r="T719" s="140">
        <v>0</v>
      </c>
      <c r="U719" s="140">
        <v>0</v>
      </c>
      <c r="V719" s="140">
        <v>0</v>
      </c>
      <c r="W719" s="140">
        <v>0</v>
      </c>
      <c r="X719" s="140">
        <v>0</v>
      </c>
      <c r="Y719" s="140">
        <v>0</v>
      </c>
      <c r="Z719" s="140">
        <v>0</v>
      </c>
      <c r="AB719" s="139">
        <f t="shared" si="44"/>
        <v>0</v>
      </c>
    </row>
    <row r="720" spans="1:28" x14ac:dyDescent="0.2">
      <c r="A720" s="127" t="str">
        <f>'Scenario List'!$A$17</f>
        <v>15- Clean Portfolio by 2045</v>
      </c>
      <c r="B720" s="128" t="s">
        <v>17</v>
      </c>
      <c r="D720" s="140">
        <v>0</v>
      </c>
      <c r="E720" s="140">
        <v>0</v>
      </c>
      <c r="F720" s="140">
        <v>0</v>
      </c>
      <c r="G720" s="140">
        <v>0</v>
      </c>
      <c r="H720" s="140">
        <v>0</v>
      </c>
      <c r="I720" s="140">
        <v>0</v>
      </c>
      <c r="J720" s="140">
        <v>0</v>
      </c>
      <c r="K720" s="140">
        <v>0</v>
      </c>
      <c r="L720" s="140">
        <v>7.2135869038657949</v>
      </c>
      <c r="M720" s="140">
        <v>0</v>
      </c>
      <c r="N720" s="140">
        <v>0</v>
      </c>
      <c r="O720" s="140">
        <v>0</v>
      </c>
      <c r="P720" s="140">
        <v>0</v>
      </c>
      <c r="Q720" s="140">
        <v>0</v>
      </c>
      <c r="R720" s="140">
        <v>0</v>
      </c>
      <c r="S720" s="140">
        <v>0</v>
      </c>
      <c r="T720" s="140">
        <v>0</v>
      </c>
      <c r="U720" s="140">
        <v>0</v>
      </c>
      <c r="V720" s="140">
        <v>0</v>
      </c>
      <c r="W720" s="140">
        <v>0</v>
      </c>
      <c r="X720" s="140">
        <v>0</v>
      </c>
      <c r="Y720" s="140">
        <v>0</v>
      </c>
      <c r="Z720" s="140">
        <v>0</v>
      </c>
      <c r="AB720" s="139">
        <f t="shared" si="44"/>
        <v>7.2135869038657949</v>
      </c>
    </row>
    <row r="721" spans="1:28" x14ac:dyDescent="0.2">
      <c r="A721" s="127" t="str">
        <f>'Scenario List'!$A$17</f>
        <v>15- Clean Portfolio by 2045</v>
      </c>
      <c r="B721" s="128" t="s">
        <v>18</v>
      </c>
      <c r="D721" s="140">
        <v>0.73369806593004239</v>
      </c>
      <c r="E721" s="140">
        <v>0.90750638729656152</v>
      </c>
      <c r="F721" s="140">
        <v>1.0636759102159163</v>
      </c>
      <c r="G721" s="140">
        <v>1.2428623907560641</v>
      </c>
      <c r="H721" s="140">
        <v>1.3514917771187855</v>
      </c>
      <c r="I721" s="140">
        <v>1.4385725438908956</v>
      </c>
      <c r="J721" s="140">
        <v>1.4422373421771857</v>
      </c>
      <c r="K721" s="140">
        <v>1.4430583878388301</v>
      </c>
      <c r="L721" s="140">
        <v>1.5563944885228871</v>
      </c>
      <c r="M721" s="140">
        <v>1.6125427341242826</v>
      </c>
      <c r="N721" s="140">
        <v>1.5147820148108213</v>
      </c>
      <c r="O721" s="140">
        <v>1.5361310383722611</v>
      </c>
      <c r="P721" s="140">
        <v>1.4884527730874684</v>
      </c>
      <c r="Q721" s="140">
        <v>1.4977429006183023</v>
      </c>
      <c r="R721" s="140">
        <v>1.333214364699991</v>
      </c>
      <c r="S721" s="140">
        <v>1.1778267274623389</v>
      </c>
      <c r="T721" s="140">
        <v>1.1218246657297435</v>
      </c>
      <c r="U721" s="140">
        <v>1.1205585858034084</v>
      </c>
      <c r="V721" s="140">
        <v>0.95280537573479052</v>
      </c>
      <c r="W721" s="140">
        <v>1.0032370506575035</v>
      </c>
      <c r="X721" s="140">
        <v>0.5716892008398311</v>
      </c>
      <c r="Y721" s="140">
        <v>0.6362573367117399</v>
      </c>
      <c r="Z721" s="140">
        <v>0.38219754064245492</v>
      </c>
      <c r="AB721" s="139">
        <f>SUM(C721:Z721)</f>
        <v>27.128759603042106</v>
      </c>
    </row>
    <row r="722" spans="1:28" x14ac:dyDescent="0.2">
      <c r="A722" s="127" t="str">
        <f>'Scenario List'!$A$17</f>
        <v>15- Clean Portfolio by 2045</v>
      </c>
      <c r="B722" s="128" t="s">
        <v>19</v>
      </c>
      <c r="D722" s="140">
        <v>0.66015970109754885</v>
      </c>
      <c r="E722" s="140">
        <v>0.84353675606452105</v>
      </c>
      <c r="F722" s="140">
        <v>1.0139709563764872</v>
      </c>
      <c r="G722" s="140">
        <v>1.2186075348563867</v>
      </c>
      <c r="H722" s="140">
        <v>1.3489995631928311</v>
      </c>
      <c r="I722" s="140">
        <v>1.4424830434786529</v>
      </c>
      <c r="J722" s="140">
        <v>1.451955151000675</v>
      </c>
      <c r="K722" s="140">
        <v>1.4604236211361261</v>
      </c>
      <c r="L722" s="140">
        <v>1.5742608310827588</v>
      </c>
      <c r="M722" s="140">
        <v>1.643972767799891</v>
      </c>
      <c r="N722" s="140">
        <v>1.5630650716550942</v>
      </c>
      <c r="O722" s="140">
        <v>1.5972164322261673</v>
      </c>
      <c r="P722" s="140">
        <v>1.5533468393635275</v>
      </c>
      <c r="Q722" s="140">
        <v>1.5652774476458973</v>
      </c>
      <c r="R722" s="140">
        <v>1.3930799116432304</v>
      </c>
      <c r="S722" s="140">
        <v>1.2301761190364644</v>
      </c>
      <c r="T722" s="140">
        <v>1.1812700998516554</v>
      </c>
      <c r="U722" s="140">
        <v>1.1573118287614541</v>
      </c>
      <c r="V722" s="140">
        <v>0.9749039947310898</v>
      </c>
      <c r="W722" s="140">
        <v>1.0161415002288479</v>
      </c>
      <c r="X722" s="140">
        <v>0.63001137071393387</v>
      </c>
      <c r="Y722" s="140">
        <v>0.69200893975029842</v>
      </c>
      <c r="Z722" s="140">
        <v>0.43803955797245919</v>
      </c>
      <c r="AB722" s="139">
        <f t="shared" si="44"/>
        <v>27.650219039665998</v>
      </c>
    </row>
    <row r="723" spans="1:28" x14ac:dyDescent="0.2">
      <c r="A723" s="127" t="str">
        <f>'Scenario List'!$A$17</f>
        <v>15- Clean Portfolio by 2045</v>
      </c>
      <c r="B723" s="128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  <c r="AB723" s="139"/>
    </row>
    <row r="724" spans="1:28" x14ac:dyDescent="0.2">
      <c r="A724" s="127" t="str">
        <f>'Scenario List'!$A$17</f>
        <v>15- Clean Portfolio by 2045</v>
      </c>
      <c r="B724" s="131" t="s">
        <v>31</v>
      </c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  <c r="AB724" s="139"/>
    </row>
    <row r="725" spans="1:28" x14ac:dyDescent="0.2">
      <c r="A725" s="127" t="str">
        <f>'Scenario List'!$A$17</f>
        <v>15- Clean Portfolio by 2045</v>
      </c>
      <c r="B725" s="128" t="s">
        <v>1</v>
      </c>
      <c r="D725" s="140">
        <v>20.33516669269213</v>
      </c>
      <c r="E725" s="140">
        <v>44.31445586524125</v>
      </c>
      <c r="F725" s="140">
        <v>71.761544232778846</v>
      </c>
      <c r="G725" s="140">
        <v>101.39093248399199</v>
      </c>
      <c r="H725" s="140">
        <v>133.77232727782848</v>
      </c>
      <c r="I725" s="140">
        <v>169.05709817809355</v>
      </c>
      <c r="J725" s="140">
        <v>206.07557833673735</v>
      </c>
      <c r="K725" s="140">
        <v>242.1216838629324</v>
      </c>
      <c r="L725" s="140">
        <v>278.35184921841449</v>
      </c>
      <c r="M725" s="140">
        <v>312.95505950844631</v>
      </c>
      <c r="N725" s="140">
        <v>344.07826738300696</v>
      </c>
      <c r="O725" s="140">
        <v>371.88193383084922</v>
      </c>
      <c r="P725" s="140">
        <v>396.59901867631783</v>
      </c>
      <c r="Q725" s="140">
        <v>418.65611826792104</v>
      </c>
      <c r="R725" s="140">
        <v>438.47533515962454</v>
      </c>
      <c r="S725" s="140">
        <v>454.2725723316567</v>
      </c>
      <c r="T725" s="140">
        <v>468.62610836452973</v>
      </c>
      <c r="U725" s="140">
        <v>481.34583383463337</v>
      </c>
      <c r="V725" s="140">
        <v>493.35847281608437</v>
      </c>
      <c r="W725" s="140">
        <v>504.69440988887999</v>
      </c>
      <c r="X725" s="140">
        <v>511.06350270110096</v>
      </c>
      <c r="Y725" s="140">
        <v>517.29829950836245</v>
      </c>
      <c r="Z725" s="140">
        <v>522.05463545885391</v>
      </c>
      <c r="AB725" s="139">
        <f>Z725/8.76</f>
        <v>59.595278020417112</v>
      </c>
    </row>
    <row r="726" spans="1:28" x14ac:dyDescent="0.2">
      <c r="A726" s="127" t="str">
        <f>'Scenario List'!$A$17</f>
        <v>15- Clean Portfolio by 2045</v>
      </c>
      <c r="B726" s="128" t="s">
        <v>2</v>
      </c>
      <c r="D726" s="140">
        <v>8.4395753298387035</v>
      </c>
      <c r="E726" s="140">
        <v>18.330820378273454</v>
      </c>
      <c r="F726" s="140">
        <v>29.708391919605209</v>
      </c>
      <c r="G726" s="140">
        <v>41.959868555726608</v>
      </c>
      <c r="H726" s="140">
        <v>55.313326485978919</v>
      </c>
      <c r="I726" s="140">
        <v>69.558696899704501</v>
      </c>
      <c r="J726" s="140">
        <v>84.296459020316945</v>
      </c>
      <c r="K726" s="140">
        <v>98.748160630809167</v>
      </c>
      <c r="L726" s="140">
        <v>113.36930610498702</v>
      </c>
      <c r="M726" s="140">
        <v>127.59217898465076</v>
      </c>
      <c r="N726" s="140">
        <v>139.96664837251285</v>
      </c>
      <c r="O726" s="140">
        <v>151.43514397091135</v>
      </c>
      <c r="P726" s="140">
        <v>162.07581659402322</v>
      </c>
      <c r="Q726" s="140">
        <v>172.02175987142542</v>
      </c>
      <c r="R726" s="140">
        <v>181.28442923034379</v>
      </c>
      <c r="S726" s="140">
        <v>188.85396371766461</v>
      </c>
      <c r="T726" s="140">
        <v>195.84705430367384</v>
      </c>
      <c r="U726" s="140">
        <v>202.12221753764362</v>
      </c>
      <c r="V726" s="140">
        <v>208.00548482240859</v>
      </c>
      <c r="W726" s="140">
        <v>213.60402745305601</v>
      </c>
      <c r="X726" s="140">
        <v>216.55299805765938</v>
      </c>
      <c r="Y726" s="140">
        <v>219.38287723134351</v>
      </c>
      <c r="Z726" s="140">
        <v>221.70105307679856</v>
      </c>
      <c r="AB726" s="139">
        <f>Z726/8.76</f>
        <v>25.308339392328602</v>
      </c>
    </row>
    <row r="727" spans="1:28" x14ac:dyDescent="0.2">
      <c r="A727" s="127" t="str">
        <f>'Scenario List'!$A$17</f>
        <v>15- Clean Portfolio by 2045</v>
      </c>
      <c r="B727" s="128" t="s">
        <v>4</v>
      </c>
      <c r="D727" s="140">
        <v>28.774742022530834</v>
      </c>
      <c r="E727" s="140">
        <v>62.645276243514701</v>
      </c>
      <c r="F727" s="140">
        <v>101.46993615238405</v>
      </c>
      <c r="G727" s="140">
        <v>143.35080103971859</v>
      </c>
      <c r="H727" s="140">
        <v>189.08565376380739</v>
      </c>
      <c r="I727" s="140">
        <v>238.61579507779805</v>
      </c>
      <c r="J727" s="140">
        <v>290.3720373570543</v>
      </c>
      <c r="K727" s="140">
        <v>340.86984449374154</v>
      </c>
      <c r="L727" s="140">
        <v>391.72115532340149</v>
      </c>
      <c r="M727" s="140">
        <v>440.5472384930971</v>
      </c>
      <c r="N727" s="140">
        <v>484.04491575551981</v>
      </c>
      <c r="O727" s="140">
        <v>523.31707780176055</v>
      </c>
      <c r="P727" s="140">
        <v>558.67483527034108</v>
      </c>
      <c r="Q727" s="140">
        <v>590.67787813934649</v>
      </c>
      <c r="R727" s="140">
        <v>619.75976438996827</v>
      </c>
      <c r="S727" s="140">
        <v>643.12653604932132</v>
      </c>
      <c r="T727" s="140">
        <v>664.4731626682036</v>
      </c>
      <c r="U727" s="140">
        <v>683.46805137227693</v>
      </c>
      <c r="V727" s="140">
        <v>701.36395763849293</v>
      </c>
      <c r="W727" s="140">
        <v>718.29843734193605</v>
      </c>
      <c r="X727" s="140">
        <v>727.61650075876037</v>
      </c>
      <c r="Y727" s="140">
        <v>736.68117673970596</v>
      </c>
      <c r="Z727" s="140">
        <v>743.75568853565244</v>
      </c>
      <c r="AB727" s="139">
        <f>Z727/8.76</f>
        <v>84.903617412745717</v>
      </c>
    </row>
    <row r="728" spans="1:28" x14ac:dyDescent="0.2">
      <c r="A728" s="127" t="str">
        <f>'Scenario List'!$A$17</f>
        <v>15- Clean Portfolio by 2045</v>
      </c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  <c r="AB728" s="139"/>
    </row>
    <row r="729" spans="1:28" x14ac:dyDescent="0.2">
      <c r="A729" s="127" t="str">
        <f>'Scenario List'!$A$17</f>
        <v>15- Clean Portfolio by 2045</v>
      </c>
      <c r="B729" s="141" t="s">
        <v>32</v>
      </c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  <c r="AB729" s="139"/>
    </row>
    <row r="730" spans="1:28" x14ac:dyDescent="0.2">
      <c r="A730" s="127" t="str">
        <f>'Scenario List'!$A$17</f>
        <v>15- Clean Portfolio by 2045</v>
      </c>
      <c r="B730" s="128" t="s">
        <v>1</v>
      </c>
      <c r="D730" s="140">
        <v>2.4473834028974117</v>
      </c>
      <c r="E730" s="140">
        <v>5.3352804179340927</v>
      </c>
      <c r="F730" s="140">
        <v>8.6377260974314005</v>
      </c>
      <c r="G730" s="140">
        <v>12.205216227634418</v>
      </c>
      <c r="H730" s="140">
        <v>16.104429204687634</v>
      </c>
      <c r="I730" s="140">
        <v>20.360093355601833</v>
      </c>
      <c r="J730" s="140">
        <v>24.812309930451661</v>
      </c>
      <c r="K730" s="140">
        <v>29.154453168394419</v>
      </c>
      <c r="L730" s="140">
        <v>33.51987132945446</v>
      </c>
      <c r="M730" s="140">
        <v>37.702435836521644</v>
      </c>
      <c r="N730" s="140">
        <v>41.442132985924104</v>
      </c>
      <c r="O730" s="140">
        <v>44.794999306588686</v>
      </c>
      <c r="P730" s="140">
        <v>47.77674194049159</v>
      </c>
      <c r="Q730" s="140">
        <v>50.455662551636124</v>
      </c>
      <c r="R730" s="140">
        <v>52.831608498053875</v>
      </c>
      <c r="S730" s="140">
        <v>54.74049049853609</v>
      </c>
      <c r="T730" s="140">
        <v>56.475920798579594</v>
      </c>
      <c r="U730" s="140">
        <v>58.035276543030747</v>
      </c>
      <c r="V730" s="140">
        <v>59.46935137776854</v>
      </c>
      <c r="W730" s="140">
        <v>60.842696860379931</v>
      </c>
      <c r="X730" s="140">
        <v>61.617773640537763</v>
      </c>
      <c r="Y730" s="140">
        <v>62.399951666033417</v>
      </c>
      <c r="Z730" s="140">
        <v>62.95877119451815</v>
      </c>
      <c r="AB730" s="139">
        <f>Z730</f>
        <v>62.95877119451815</v>
      </c>
    </row>
    <row r="731" spans="1:28" x14ac:dyDescent="0.2">
      <c r="A731" s="127" t="str">
        <f>'Scenario List'!$A$17</f>
        <v>15- Clean Portfolio by 2045</v>
      </c>
      <c r="B731" s="128" t="s">
        <v>2</v>
      </c>
      <c r="D731" s="140">
        <v>1.0157220199809063</v>
      </c>
      <c r="E731" s="140">
        <v>2.2069562877241733</v>
      </c>
      <c r="F731" s="140">
        <v>3.5759117914784193</v>
      </c>
      <c r="G731" s="140">
        <v>5.0510361830099404</v>
      </c>
      <c r="H731" s="140">
        <v>6.6589971827219676</v>
      </c>
      <c r="I731" s="140">
        <v>8.377178940336913</v>
      </c>
      <c r="J731" s="140">
        <v>10.149625123623158</v>
      </c>
      <c r="K731" s="140">
        <v>11.890503067068616</v>
      </c>
      <c r="L731" s="140">
        <v>13.65223390474714</v>
      </c>
      <c r="M731" s="140">
        <v>15.371331426840054</v>
      </c>
      <c r="N731" s="140">
        <v>16.858130853672819</v>
      </c>
      <c r="O731" s="140">
        <v>18.241104372270016</v>
      </c>
      <c r="P731" s="140">
        <v>19.524643530514815</v>
      </c>
      <c r="Q731" s="140">
        <v>20.731744954594813</v>
      </c>
      <c r="R731" s="140">
        <v>21.842843197563269</v>
      </c>
      <c r="S731" s="140">
        <v>22.757170994136377</v>
      </c>
      <c r="T731" s="140">
        <v>23.602275951056637</v>
      </c>
      <c r="U731" s="140">
        <v>24.36962775150494</v>
      </c>
      <c r="V731" s="140">
        <v>25.072947860405399</v>
      </c>
      <c r="W731" s="140">
        <v>25.750721299536441</v>
      </c>
      <c r="X731" s="140">
        <v>26.109306465777337</v>
      </c>
      <c r="Y731" s="140">
        <v>26.463417623065045</v>
      </c>
      <c r="Z731" s="140">
        <v>26.736714753959873</v>
      </c>
      <c r="AB731" s="139">
        <f>Z731</f>
        <v>26.736714753959873</v>
      </c>
    </row>
    <row r="732" spans="1:28" x14ac:dyDescent="0.2">
      <c r="A732" s="127" t="str">
        <f>'Scenario List'!$A$17</f>
        <v>15- Clean Portfolio by 2045</v>
      </c>
      <c r="B732" s="128" t="s">
        <v>4</v>
      </c>
      <c r="D732" s="140">
        <v>3.4631054228783178</v>
      </c>
      <c r="E732" s="140">
        <v>7.542236705658266</v>
      </c>
      <c r="F732" s="140">
        <v>12.213637888909819</v>
      </c>
      <c r="G732" s="140">
        <v>17.256252410644358</v>
      </c>
      <c r="H732" s="140">
        <v>22.763426387409602</v>
      </c>
      <c r="I732" s="140">
        <v>28.737272295938745</v>
      </c>
      <c r="J732" s="140">
        <v>34.961935054074821</v>
      </c>
      <c r="K732" s="140">
        <v>41.044956235463033</v>
      </c>
      <c r="L732" s="140">
        <v>47.172105234201602</v>
      </c>
      <c r="M732" s="140">
        <v>53.073767263361702</v>
      </c>
      <c r="N732" s="140">
        <v>58.300263839596923</v>
      </c>
      <c r="O732" s="140">
        <v>63.036103678858701</v>
      </c>
      <c r="P732" s="140">
        <v>67.301385471006398</v>
      </c>
      <c r="Q732" s="140">
        <v>71.18740750623094</v>
      </c>
      <c r="R732" s="140">
        <v>74.674451695617137</v>
      </c>
      <c r="S732" s="140">
        <v>77.497661492672464</v>
      </c>
      <c r="T732" s="140">
        <v>80.078196749636234</v>
      </c>
      <c r="U732" s="140">
        <v>82.404904294535683</v>
      </c>
      <c r="V732" s="140">
        <v>84.542299238173939</v>
      </c>
      <c r="W732" s="140">
        <v>86.593418159916368</v>
      </c>
      <c r="X732" s="140">
        <v>87.7270801063151</v>
      </c>
      <c r="Y732" s="140">
        <v>88.863369289098458</v>
      </c>
      <c r="Z732" s="140">
        <v>89.695485948478023</v>
      </c>
      <c r="AB732" s="139">
        <f>Z732</f>
        <v>89.695485948478023</v>
      </c>
    </row>
    <row r="735" spans="1:28" x14ac:dyDescent="0.2">
      <c r="A735" s="127" t="str">
        <f>'Scenario List'!$A$18</f>
        <v>16- Social Cost Included for Idaho</v>
      </c>
      <c r="B735" s="131" t="s">
        <v>11</v>
      </c>
    </row>
    <row r="736" spans="1:28" x14ac:dyDescent="0.2">
      <c r="A736" s="127" t="str">
        <f>'Scenario List'!$A$18</f>
        <v>16- Social Cost Included for Idaho</v>
      </c>
      <c r="B736" s="128" t="s">
        <v>12</v>
      </c>
      <c r="D736" s="140">
        <v>0</v>
      </c>
      <c r="E736" s="140">
        <v>0</v>
      </c>
      <c r="F736" s="140">
        <v>0</v>
      </c>
      <c r="G736" s="140">
        <v>0</v>
      </c>
      <c r="H736" s="140">
        <v>0</v>
      </c>
      <c r="I736" s="140">
        <v>0</v>
      </c>
      <c r="J736" s="140">
        <v>0</v>
      </c>
      <c r="K736" s="140">
        <v>0</v>
      </c>
      <c r="L736" s="140">
        <v>0</v>
      </c>
      <c r="M736" s="140">
        <v>0</v>
      </c>
      <c r="N736" s="140">
        <v>0</v>
      </c>
      <c r="O736" s="140">
        <v>0</v>
      </c>
      <c r="P736" s="140">
        <v>0</v>
      </c>
      <c r="Q736" s="140">
        <v>0</v>
      </c>
      <c r="R736" s="140">
        <v>0</v>
      </c>
      <c r="S736" s="140">
        <v>0</v>
      </c>
      <c r="T736" s="140">
        <v>0</v>
      </c>
      <c r="U736" s="140">
        <v>0</v>
      </c>
      <c r="V736" s="140">
        <v>0</v>
      </c>
      <c r="W736" s="140">
        <v>0</v>
      </c>
      <c r="X736" s="140">
        <v>0</v>
      </c>
      <c r="Y736" s="140">
        <v>0</v>
      </c>
      <c r="Z736" s="140">
        <v>0</v>
      </c>
      <c r="AB736" s="139">
        <f>SUM(C736:Z736)</f>
        <v>0</v>
      </c>
    </row>
    <row r="737" spans="1:28" x14ac:dyDescent="0.2">
      <c r="A737" s="127" t="str">
        <f>'Scenario List'!$A$18</f>
        <v>16- Social Cost Included for Idaho</v>
      </c>
      <c r="B737" s="128" t="s">
        <v>13</v>
      </c>
      <c r="D737" s="140">
        <v>0</v>
      </c>
      <c r="E737" s="140">
        <v>0</v>
      </c>
      <c r="F737" s="140">
        <v>0</v>
      </c>
      <c r="G737" s="140">
        <v>0</v>
      </c>
      <c r="H737" s="140">
        <v>0</v>
      </c>
      <c r="I737" s="140">
        <v>0</v>
      </c>
      <c r="J737" s="140">
        <v>0</v>
      </c>
      <c r="K737" s="140">
        <v>0</v>
      </c>
      <c r="L737" s="140">
        <v>0</v>
      </c>
      <c r="M737" s="140">
        <v>0</v>
      </c>
      <c r="N737" s="140">
        <v>0</v>
      </c>
      <c r="O737" s="140">
        <v>0</v>
      </c>
      <c r="P737" s="140">
        <v>0</v>
      </c>
      <c r="Q737" s="140">
        <v>0</v>
      </c>
      <c r="R737" s="140">
        <v>0</v>
      </c>
      <c r="S737" s="140">
        <v>0</v>
      </c>
      <c r="T737" s="140">
        <v>0</v>
      </c>
      <c r="U737" s="140">
        <v>0</v>
      </c>
      <c r="V737" s="140">
        <v>0</v>
      </c>
      <c r="W737" s="140">
        <v>0</v>
      </c>
      <c r="X737" s="140">
        <v>0</v>
      </c>
      <c r="Y737" s="140">
        <v>0</v>
      </c>
      <c r="Z737" s="140">
        <v>0</v>
      </c>
      <c r="AB737" s="139">
        <f t="shared" ref="AB737:AB744" si="45">SUM(C737:Z737)</f>
        <v>0</v>
      </c>
    </row>
    <row r="738" spans="1:28" x14ac:dyDescent="0.2">
      <c r="A738" s="127" t="str">
        <f>'Scenario List'!$A$18</f>
        <v>16- Social Cost Included for Idaho</v>
      </c>
      <c r="B738" s="128" t="s">
        <v>14</v>
      </c>
      <c r="D738" s="140">
        <v>0</v>
      </c>
      <c r="E738" s="140">
        <v>0</v>
      </c>
      <c r="F738" s="140">
        <v>0</v>
      </c>
      <c r="G738" s="140">
        <v>0</v>
      </c>
      <c r="H738" s="140">
        <v>0</v>
      </c>
      <c r="I738" s="140">
        <v>0</v>
      </c>
      <c r="J738" s="140">
        <v>0</v>
      </c>
      <c r="K738" s="140">
        <v>0</v>
      </c>
      <c r="L738" s="140">
        <v>0</v>
      </c>
      <c r="M738" s="140">
        <v>0</v>
      </c>
      <c r="N738" s="140">
        <v>0</v>
      </c>
      <c r="O738" s="140">
        <v>0</v>
      </c>
      <c r="P738" s="140">
        <v>0</v>
      </c>
      <c r="Q738" s="140">
        <v>0</v>
      </c>
      <c r="R738" s="140">
        <v>0</v>
      </c>
      <c r="S738" s="140">
        <v>0</v>
      </c>
      <c r="T738" s="140">
        <v>0</v>
      </c>
      <c r="U738" s="140">
        <v>0</v>
      </c>
      <c r="V738" s="140">
        <v>0</v>
      </c>
      <c r="W738" s="140">
        <v>0</v>
      </c>
      <c r="X738" s="140">
        <v>0</v>
      </c>
      <c r="Y738" s="140">
        <v>0</v>
      </c>
      <c r="Z738" s="140">
        <v>0</v>
      </c>
      <c r="AB738" s="139">
        <f t="shared" si="45"/>
        <v>0</v>
      </c>
    </row>
    <row r="739" spans="1:28" x14ac:dyDescent="0.2">
      <c r="A739" s="127" t="str">
        <f>'Scenario List'!$A$18</f>
        <v>16- Social Cost Included for Idaho</v>
      </c>
      <c r="B739" s="128" t="s">
        <v>15</v>
      </c>
      <c r="D739" s="140">
        <v>0</v>
      </c>
      <c r="E739" s="140">
        <v>0</v>
      </c>
      <c r="F739" s="140">
        <v>0</v>
      </c>
      <c r="G739" s="140">
        <v>0</v>
      </c>
      <c r="H739" s="140">
        <v>0</v>
      </c>
      <c r="I739" s="140">
        <v>0</v>
      </c>
      <c r="J739" s="140">
        <v>0</v>
      </c>
      <c r="K739" s="140">
        <v>0</v>
      </c>
      <c r="L739" s="140">
        <v>0</v>
      </c>
      <c r="M739" s="140">
        <v>0</v>
      </c>
      <c r="N739" s="140">
        <v>0</v>
      </c>
      <c r="O739" s="140">
        <v>0</v>
      </c>
      <c r="P739" s="140">
        <v>0</v>
      </c>
      <c r="Q739" s="140">
        <v>0</v>
      </c>
      <c r="R739" s="140">
        <v>0</v>
      </c>
      <c r="S739" s="140">
        <v>0</v>
      </c>
      <c r="T739" s="140">
        <v>0</v>
      </c>
      <c r="U739" s="140">
        <v>0</v>
      </c>
      <c r="V739" s="140">
        <v>0</v>
      </c>
      <c r="W739" s="140">
        <v>0</v>
      </c>
      <c r="X739" s="140">
        <v>0</v>
      </c>
      <c r="Y739" s="140">
        <v>0</v>
      </c>
      <c r="Z739" s="140">
        <v>0</v>
      </c>
      <c r="AB739" s="139">
        <f t="shared" si="45"/>
        <v>0</v>
      </c>
    </row>
    <row r="740" spans="1:28" x14ac:dyDescent="0.2">
      <c r="A740" s="127" t="str">
        <f>'Scenario List'!$A$18</f>
        <v>16- Social Cost Included for Idaho</v>
      </c>
      <c r="B740" s="128" t="s">
        <v>16</v>
      </c>
      <c r="D740" s="140">
        <v>0</v>
      </c>
      <c r="E740" s="140">
        <v>0</v>
      </c>
      <c r="F740" s="140">
        <v>0</v>
      </c>
      <c r="G740" s="140">
        <v>0</v>
      </c>
      <c r="H740" s="140">
        <v>0</v>
      </c>
      <c r="I740" s="140">
        <v>0</v>
      </c>
      <c r="J740" s="140">
        <v>0</v>
      </c>
      <c r="K740" s="140">
        <v>0</v>
      </c>
      <c r="L740" s="140">
        <v>0</v>
      </c>
      <c r="M740" s="140">
        <v>0</v>
      </c>
      <c r="N740" s="140">
        <v>0</v>
      </c>
      <c r="O740" s="140">
        <v>0</v>
      </c>
      <c r="P740" s="140">
        <v>0</v>
      </c>
      <c r="Q740" s="140">
        <v>0</v>
      </c>
      <c r="R740" s="140">
        <v>2.1316282072803006E-13</v>
      </c>
      <c r="S740" s="140">
        <v>0</v>
      </c>
      <c r="T740" s="140">
        <v>0</v>
      </c>
      <c r="U740" s="140">
        <v>50</v>
      </c>
      <c r="V740" s="140">
        <v>0</v>
      </c>
      <c r="W740" s="140">
        <v>0</v>
      </c>
      <c r="X740" s="140">
        <v>0</v>
      </c>
      <c r="Y740" s="140">
        <v>50</v>
      </c>
      <c r="Z740" s="140">
        <v>0</v>
      </c>
      <c r="AB740" s="139">
        <f t="shared" si="45"/>
        <v>100.00000000000021</v>
      </c>
    </row>
    <row r="741" spans="1:28" x14ac:dyDescent="0.2">
      <c r="A741" s="127" t="str">
        <f>'Scenario List'!$A$18</f>
        <v>16- Social Cost Included for Idaho</v>
      </c>
      <c r="B741" s="128" t="s">
        <v>85</v>
      </c>
      <c r="D741" s="140">
        <v>0</v>
      </c>
      <c r="E741" s="140">
        <v>0</v>
      </c>
      <c r="F741" s="140">
        <v>0</v>
      </c>
      <c r="G741" s="140">
        <v>0</v>
      </c>
      <c r="H741" s="140">
        <v>0</v>
      </c>
      <c r="I741" s="140">
        <v>0</v>
      </c>
      <c r="J741" s="140">
        <v>0</v>
      </c>
      <c r="K741" s="140">
        <v>0</v>
      </c>
      <c r="L741" s="140">
        <v>0</v>
      </c>
      <c r="M741" s="140">
        <v>0</v>
      </c>
      <c r="N741" s="140">
        <v>0</v>
      </c>
      <c r="O741" s="140">
        <v>0</v>
      </c>
      <c r="P741" s="140">
        <v>0</v>
      </c>
      <c r="Q741" s="140">
        <v>100.39236489225239</v>
      </c>
      <c r="R741" s="140">
        <v>0</v>
      </c>
      <c r="S741" s="140">
        <v>74.903057204626322</v>
      </c>
      <c r="T741" s="140">
        <v>0</v>
      </c>
      <c r="U741" s="140">
        <v>0</v>
      </c>
      <c r="V741" s="140">
        <v>74</v>
      </c>
      <c r="W741" s="140">
        <v>0</v>
      </c>
      <c r="X741" s="140">
        <v>74</v>
      </c>
      <c r="Y741" s="140">
        <v>0</v>
      </c>
      <c r="Z741" s="140">
        <v>0</v>
      </c>
      <c r="AB741" s="139">
        <f t="shared" si="45"/>
        <v>323.29542209687872</v>
      </c>
    </row>
    <row r="742" spans="1:28" x14ac:dyDescent="0.2">
      <c r="A742" s="127" t="str">
        <f>'Scenario List'!$A$18</f>
        <v>16- Social Cost Included for Idaho</v>
      </c>
      <c r="B742" s="128" t="s">
        <v>86</v>
      </c>
      <c r="D742" s="140">
        <v>0</v>
      </c>
      <c r="E742" s="140">
        <v>0</v>
      </c>
      <c r="F742" s="140">
        <v>0</v>
      </c>
      <c r="G742" s="140">
        <v>0</v>
      </c>
      <c r="H742" s="140">
        <v>0</v>
      </c>
      <c r="I742" s="140">
        <v>0</v>
      </c>
      <c r="J742" s="140">
        <v>0</v>
      </c>
      <c r="K742" s="140">
        <v>0</v>
      </c>
      <c r="L742" s="140">
        <v>0</v>
      </c>
      <c r="M742" s="140">
        <v>0</v>
      </c>
      <c r="N742" s="140">
        <v>0</v>
      </c>
      <c r="O742" s="140">
        <v>0</v>
      </c>
      <c r="P742" s="140">
        <v>0</v>
      </c>
      <c r="Q742" s="140">
        <v>0</v>
      </c>
      <c r="R742" s="140">
        <v>0</v>
      </c>
      <c r="S742" s="140">
        <v>0</v>
      </c>
      <c r="T742" s="140">
        <v>0</v>
      </c>
      <c r="U742" s="140">
        <v>0</v>
      </c>
      <c r="V742" s="140">
        <v>0</v>
      </c>
      <c r="W742" s="140">
        <v>0</v>
      </c>
      <c r="X742" s="140">
        <v>0</v>
      </c>
      <c r="Y742" s="140">
        <v>0</v>
      </c>
      <c r="Z742" s="140">
        <v>0</v>
      </c>
      <c r="AB742" s="139">
        <f t="shared" si="45"/>
        <v>0</v>
      </c>
    </row>
    <row r="743" spans="1:28" x14ac:dyDescent="0.2">
      <c r="A743" s="127" t="str">
        <f>'Scenario List'!$A$18</f>
        <v>16- Social Cost Included for Idaho</v>
      </c>
      <c r="B743" s="128" t="s">
        <v>87</v>
      </c>
      <c r="D743" s="140">
        <v>0</v>
      </c>
      <c r="E743" s="140">
        <v>0</v>
      </c>
      <c r="F743" s="140">
        <v>0</v>
      </c>
      <c r="G743" s="140">
        <v>0</v>
      </c>
      <c r="H743" s="140">
        <v>0</v>
      </c>
      <c r="I743" s="140">
        <v>0</v>
      </c>
      <c r="J743" s="140">
        <v>0</v>
      </c>
      <c r="K743" s="140">
        <v>0</v>
      </c>
      <c r="L743" s="140">
        <v>0</v>
      </c>
      <c r="M743" s="140">
        <v>0</v>
      </c>
      <c r="N743" s="140">
        <v>0</v>
      </c>
      <c r="O743" s="140">
        <v>0</v>
      </c>
      <c r="P743" s="140">
        <v>0</v>
      </c>
      <c r="Q743" s="140">
        <v>0</v>
      </c>
      <c r="R743" s="140">
        <v>0</v>
      </c>
      <c r="S743" s="140">
        <v>0</v>
      </c>
      <c r="T743" s="140">
        <v>0</v>
      </c>
      <c r="U743" s="140">
        <v>0</v>
      </c>
      <c r="V743" s="140">
        <v>0</v>
      </c>
      <c r="W743" s="140">
        <v>0</v>
      </c>
      <c r="X743" s="140">
        <v>0</v>
      </c>
      <c r="Y743" s="140">
        <v>0</v>
      </c>
      <c r="Z743" s="140">
        <v>0</v>
      </c>
      <c r="AB743" s="139">
        <f t="shared" si="45"/>
        <v>0</v>
      </c>
    </row>
    <row r="744" spans="1:28" x14ac:dyDescent="0.2">
      <c r="A744" s="127" t="str">
        <f>'Scenario List'!$A$18</f>
        <v>16- Social Cost Included for Idaho</v>
      </c>
      <c r="B744" s="128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  <c r="AB744" s="139">
        <f t="shared" si="45"/>
        <v>0</v>
      </c>
    </row>
    <row r="745" spans="1:28" x14ac:dyDescent="0.2">
      <c r="A745" s="127" t="str">
        <f>'Scenario List'!$A$18</f>
        <v>16- Social Cost Included for Idaho</v>
      </c>
      <c r="B745" s="128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  <c r="AB745" s="139"/>
    </row>
    <row r="746" spans="1:28" x14ac:dyDescent="0.2">
      <c r="A746" s="127" t="str">
        <f>'Scenario List'!$A$18</f>
        <v>16- Social Cost Included for Idaho</v>
      </c>
      <c r="B746" s="128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  <c r="AB746" s="139"/>
    </row>
    <row r="747" spans="1:28" x14ac:dyDescent="0.2">
      <c r="A747" s="127" t="str">
        <f>'Scenario List'!$A$18</f>
        <v>16- Social Cost Included for Idaho</v>
      </c>
      <c r="B747" s="131" t="s">
        <v>9</v>
      </c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  <c r="AB747" s="139"/>
    </row>
    <row r="748" spans="1:28" x14ac:dyDescent="0.2">
      <c r="A748" s="127" t="str">
        <f>'Scenario List'!$A$18</f>
        <v>16- Social Cost Included for Idaho</v>
      </c>
      <c r="B748" s="128" t="s">
        <v>12</v>
      </c>
      <c r="D748" s="140">
        <v>0</v>
      </c>
      <c r="E748" s="140">
        <v>0</v>
      </c>
      <c r="F748" s="140">
        <v>0</v>
      </c>
      <c r="G748" s="140">
        <v>0</v>
      </c>
      <c r="H748" s="140">
        <v>0</v>
      </c>
      <c r="I748" s="140">
        <v>0</v>
      </c>
      <c r="J748" s="140">
        <v>0</v>
      </c>
      <c r="K748" s="140">
        <v>0</v>
      </c>
      <c r="L748" s="140">
        <v>0</v>
      </c>
      <c r="M748" s="140">
        <v>0</v>
      </c>
      <c r="N748" s="140">
        <v>0</v>
      </c>
      <c r="O748" s="140">
        <v>0</v>
      </c>
      <c r="P748" s="140">
        <v>0</v>
      </c>
      <c r="Q748" s="140">
        <v>0</v>
      </c>
      <c r="R748" s="140">
        <v>0</v>
      </c>
      <c r="S748" s="140">
        <v>0</v>
      </c>
      <c r="T748" s="140">
        <v>0</v>
      </c>
      <c r="U748" s="140">
        <v>0</v>
      </c>
      <c r="V748" s="140">
        <v>0</v>
      </c>
      <c r="W748" s="140">
        <v>0</v>
      </c>
      <c r="X748" s="140">
        <v>0</v>
      </c>
      <c r="Y748" s="140">
        <v>0</v>
      </c>
      <c r="Z748" s="140">
        <v>0</v>
      </c>
      <c r="AB748" s="139">
        <f t="shared" ref="AB748:AB758" si="46">SUM(C748:Z748)</f>
        <v>0</v>
      </c>
    </row>
    <row r="749" spans="1:28" x14ac:dyDescent="0.2">
      <c r="A749" s="127" t="str">
        <f>'Scenario List'!$A$18</f>
        <v>16- Social Cost Included for Idaho</v>
      </c>
      <c r="B749" s="128" t="s">
        <v>13</v>
      </c>
      <c r="D749" s="140">
        <v>0</v>
      </c>
      <c r="E749" s="140">
        <v>0.66473348291362344</v>
      </c>
      <c r="F749" s="140">
        <v>0.68964227723279592</v>
      </c>
      <c r="G749" s="140">
        <v>0.71589898207405445</v>
      </c>
      <c r="H749" s="140">
        <v>0.74474658163446983</v>
      </c>
      <c r="I749" s="140">
        <v>0.77630089828909576</v>
      </c>
      <c r="J749" s="140">
        <v>0.80410589762092999</v>
      </c>
      <c r="K749" s="140">
        <v>0.83083714578533907</v>
      </c>
      <c r="L749" s="140">
        <v>0.86470310660026972</v>
      </c>
      <c r="M749" s="140">
        <v>0.89748888614452071</v>
      </c>
      <c r="N749" s="140">
        <v>0.92585303260081719</v>
      </c>
      <c r="O749" s="140">
        <v>0.24928505126105205</v>
      </c>
      <c r="P749" s="140">
        <v>0.23576630906236271</v>
      </c>
      <c r="Q749" s="140">
        <v>0.24612163403694726</v>
      </c>
      <c r="R749" s="140">
        <v>0</v>
      </c>
      <c r="S749" s="140">
        <v>0.2</v>
      </c>
      <c r="T749" s="140">
        <v>0</v>
      </c>
      <c r="U749" s="140">
        <v>0.20000000000000018</v>
      </c>
      <c r="V749" s="140">
        <v>0.20651927941128756</v>
      </c>
      <c r="W749" s="140">
        <v>0.21521951492145286</v>
      </c>
      <c r="X749" s="140">
        <v>0.22661073493620518</v>
      </c>
      <c r="Y749" s="140">
        <v>0.23465281509741917</v>
      </c>
      <c r="Z749" s="140">
        <v>73.659135920894997</v>
      </c>
      <c r="AB749" s="139">
        <f t="shared" si="46"/>
        <v>83.587621550517639</v>
      </c>
    </row>
    <row r="750" spans="1:28" x14ac:dyDescent="0.2">
      <c r="A750" s="127" t="str">
        <f>'Scenario List'!$A$18</f>
        <v>16- Social Cost Included for Idaho</v>
      </c>
      <c r="B750" s="128" t="s">
        <v>14</v>
      </c>
      <c r="D750" s="140">
        <v>0</v>
      </c>
      <c r="E750" s="140">
        <v>0</v>
      </c>
      <c r="F750" s="140">
        <v>0</v>
      </c>
      <c r="G750" s="140">
        <v>0</v>
      </c>
      <c r="H750" s="140">
        <v>0</v>
      </c>
      <c r="I750" s="140">
        <v>0</v>
      </c>
      <c r="J750" s="140">
        <v>0</v>
      </c>
      <c r="K750" s="140">
        <v>0</v>
      </c>
      <c r="L750" s="140">
        <v>0</v>
      </c>
      <c r="M750" s="140">
        <v>0</v>
      </c>
      <c r="N750" s="140">
        <v>0</v>
      </c>
      <c r="O750" s="140">
        <v>0</v>
      </c>
      <c r="P750" s="140">
        <v>0</v>
      </c>
      <c r="Q750" s="140">
        <v>0</v>
      </c>
      <c r="R750" s="140">
        <v>0</v>
      </c>
      <c r="S750" s="140">
        <v>0.10000000000000009</v>
      </c>
      <c r="T750" s="140">
        <v>0</v>
      </c>
      <c r="U750" s="140">
        <v>0.10000000000000009</v>
      </c>
      <c r="V750" s="140">
        <v>0.10325963970564378</v>
      </c>
      <c r="W750" s="140">
        <v>0.10760975746072643</v>
      </c>
      <c r="X750" s="140">
        <v>0.11330536746810259</v>
      </c>
      <c r="Y750" s="140">
        <v>0.11732640754870959</v>
      </c>
      <c r="Z750" s="140">
        <v>36.62689936716454</v>
      </c>
      <c r="AB750" s="139">
        <f t="shared" si="46"/>
        <v>37.268400539347724</v>
      </c>
    </row>
    <row r="751" spans="1:28" x14ac:dyDescent="0.2">
      <c r="A751" s="127" t="str">
        <f>'Scenario List'!$A$18</f>
        <v>16- Social Cost Included for Idaho</v>
      </c>
      <c r="B751" s="128" t="s">
        <v>15</v>
      </c>
      <c r="D751" s="140">
        <v>0</v>
      </c>
      <c r="E751" s="140">
        <v>0</v>
      </c>
      <c r="F751" s="140">
        <v>0</v>
      </c>
      <c r="G751" s="140">
        <v>0</v>
      </c>
      <c r="H751" s="140">
        <v>0</v>
      </c>
      <c r="I751" s="140">
        <v>0</v>
      </c>
      <c r="J751" s="140">
        <v>0</v>
      </c>
      <c r="K751" s="140">
        <v>200</v>
      </c>
      <c r="L751" s="140">
        <v>0</v>
      </c>
      <c r="M751" s="140">
        <v>200</v>
      </c>
      <c r="N751" s="140">
        <v>0</v>
      </c>
      <c r="O751" s="140">
        <v>0</v>
      </c>
      <c r="P751" s="140">
        <v>0</v>
      </c>
      <c r="Q751" s="140">
        <v>0</v>
      </c>
      <c r="R751" s="140">
        <v>0</v>
      </c>
      <c r="S751" s="140">
        <v>0</v>
      </c>
      <c r="T751" s="140">
        <v>0</v>
      </c>
      <c r="U751" s="140">
        <v>0</v>
      </c>
      <c r="V751" s="140">
        <v>140</v>
      </c>
      <c r="W751" s="140">
        <v>105</v>
      </c>
      <c r="X751" s="140">
        <v>0</v>
      </c>
      <c r="Y751" s="140">
        <v>100</v>
      </c>
      <c r="Z751" s="140">
        <v>160</v>
      </c>
      <c r="AB751" s="139">
        <f t="shared" si="46"/>
        <v>905</v>
      </c>
    </row>
    <row r="752" spans="1:28" x14ac:dyDescent="0.2">
      <c r="A752" s="127" t="str">
        <f>'Scenario List'!$A$18</f>
        <v>16- Social Cost Included for Idaho</v>
      </c>
      <c r="B752" s="128" t="s">
        <v>16</v>
      </c>
      <c r="D752" s="140">
        <v>0</v>
      </c>
      <c r="E752" s="140">
        <v>0</v>
      </c>
      <c r="F752" s="140">
        <v>0</v>
      </c>
      <c r="G752" s="140">
        <v>0</v>
      </c>
      <c r="H752" s="140">
        <v>0</v>
      </c>
      <c r="I752" s="140">
        <v>0</v>
      </c>
      <c r="J752" s="140">
        <v>0</v>
      </c>
      <c r="K752" s="140">
        <v>0</v>
      </c>
      <c r="L752" s="140">
        <v>0</v>
      </c>
      <c r="M752" s="140">
        <v>0</v>
      </c>
      <c r="N752" s="140">
        <v>0</v>
      </c>
      <c r="O752" s="140">
        <v>0</v>
      </c>
      <c r="P752" s="140">
        <v>0</v>
      </c>
      <c r="Q752" s="140">
        <v>0</v>
      </c>
      <c r="R752" s="140">
        <v>0.5</v>
      </c>
      <c r="S752" s="140">
        <v>0</v>
      </c>
      <c r="T752" s="140">
        <v>0.49999999999999289</v>
      </c>
      <c r="U752" s="140">
        <v>0</v>
      </c>
      <c r="V752" s="140">
        <v>0</v>
      </c>
      <c r="W752" s="140">
        <v>57.50044999905645</v>
      </c>
      <c r="X752" s="140">
        <v>0</v>
      </c>
      <c r="Y752" s="140">
        <v>0</v>
      </c>
      <c r="Z752" s="140">
        <v>0</v>
      </c>
      <c r="AB752" s="139">
        <f t="shared" si="46"/>
        <v>58.500449999056443</v>
      </c>
    </row>
    <row r="753" spans="1:28" x14ac:dyDescent="0.2">
      <c r="A753" s="127" t="str">
        <f>'Scenario List'!$A$18</f>
        <v>16- Social Cost Included for Idaho</v>
      </c>
      <c r="B753" s="128" t="s">
        <v>85</v>
      </c>
      <c r="D753" s="140">
        <v>0</v>
      </c>
      <c r="E753" s="140">
        <v>0</v>
      </c>
      <c r="F753" s="140">
        <v>0</v>
      </c>
      <c r="G753" s="140">
        <v>0</v>
      </c>
      <c r="H753" s="140">
        <v>0</v>
      </c>
      <c r="I753" s="140">
        <v>0</v>
      </c>
      <c r="J753" s="140">
        <v>0</v>
      </c>
      <c r="K753" s="140">
        <v>0</v>
      </c>
      <c r="L753" s="140">
        <v>0</v>
      </c>
      <c r="M753" s="140">
        <v>0</v>
      </c>
      <c r="N753" s="140">
        <v>0</v>
      </c>
      <c r="O753" s="140">
        <v>0</v>
      </c>
      <c r="P753" s="140">
        <v>0</v>
      </c>
      <c r="Q753" s="140">
        <v>0</v>
      </c>
      <c r="R753" s="140">
        <v>0</v>
      </c>
      <c r="S753" s="140">
        <v>0</v>
      </c>
      <c r="T753" s="140">
        <v>0</v>
      </c>
      <c r="U753" s="140">
        <v>0</v>
      </c>
      <c r="V753" s="140">
        <v>0</v>
      </c>
      <c r="W753" s="140">
        <v>150.30049107275107</v>
      </c>
      <c r="X753" s="140">
        <v>0</v>
      </c>
      <c r="Y753" s="140">
        <v>0</v>
      </c>
      <c r="Z753" s="140">
        <v>323.70122141037223</v>
      </c>
      <c r="AB753" s="139">
        <f t="shared" si="46"/>
        <v>474.0017124831233</v>
      </c>
    </row>
    <row r="754" spans="1:28" x14ac:dyDescent="0.2">
      <c r="A754" s="127" t="str">
        <f>'Scenario List'!$A$18</f>
        <v>16- Social Cost Included for Idaho</v>
      </c>
      <c r="B754" s="128" t="s">
        <v>86</v>
      </c>
      <c r="D754" s="140">
        <v>0</v>
      </c>
      <c r="E754" s="140">
        <v>0</v>
      </c>
      <c r="F754" s="140">
        <v>0</v>
      </c>
      <c r="G754" s="140">
        <v>0</v>
      </c>
      <c r="H754" s="140">
        <v>0</v>
      </c>
      <c r="I754" s="140">
        <v>0</v>
      </c>
      <c r="J754" s="140">
        <v>0</v>
      </c>
      <c r="K754" s="140">
        <v>0</v>
      </c>
      <c r="L754" s="140">
        <v>0</v>
      </c>
      <c r="M754" s="140">
        <v>0</v>
      </c>
      <c r="N754" s="140">
        <v>0</v>
      </c>
      <c r="O754" s="140">
        <v>0</v>
      </c>
      <c r="P754" s="140">
        <v>0</v>
      </c>
      <c r="Q754" s="140">
        <v>0</v>
      </c>
      <c r="R754" s="140">
        <v>0</v>
      </c>
      <c r="S754" s="140">
        <v>0</v>
      </c>
      <c r="T754" s="140">
        <v>0</v>
      </c>
      <c r="U754" s="140">
        <v>0</v>
      </c>
      <c r="V754" s="140">
        <v>0</v>
      </c>
      <c r="W754" s="140">
        <v>0</v>
      </c>
      <c r="X754" s="140">
        <v>0</v>
      </c>
      <c r="Y754" s="140">
        <v>0</v>
      </c>
      <c r="Z754" s="140">
        <v>20</v>
      </c>
      <c r="AB754" s="139">
        <f t="shared" si="46"/>
        <v>20</v>
      </c>
    </row>
    <row r="755" spans="1:28" x14ac:dyDescent="0.2">
      <c r="A755" s="127" t="str">
        <f>'Scenario List'!$A$18</f>
        <v>16- Social Cost Included for Idaho</v>
      </c>
      <c r="B755" s="128" t="s">
        <v>87</v>
      </c>
      <c r="D755" s="140">
        <v>0</v>
      </c>
      <c r="E755" s="140">
        <v>0</v>
      </c>
      <c r="F755" s="140">
        <v>0</v>
      </c>
      <c r="G755" s="140">
        <v>0</v>
      </c>
      <c r="H755" s="140">
        <v>0</v>
      </c>
      <c r="I755" s="140">
        <v>0</v>
      </c>
      <c r="J755" s="140">
        <v>0</v>
      </c>
      <c r="K755" s="140">
        <v>0</v>
      </c>
      <c r="L755" s="140">
        <v>0</v>
      </c>
      <c r="M755" s="140">
        <v>0</v>
      </c>
      <c r="N755" s="140">
        <v>0</v>
      </c>
      <c r="O755" s="140">
        <v>0</v>
      </c>
      <c r="P755" s="140">
        <v>0</v>
      </c>
      <c r="Q755" s="140">
        <v>0</v>
      </c>
      <c r="R755" s="140">
        <v>0</v>
      </c>
      <c r="S755" s="140">
        <v>0</v>
      </c>
      <c r="T755" s="140">
        <v>0</v>
      </c>
      <c r="U755" s="140">
        <v>0</v>
      </c>
      <c r="V755" s="140">
        <v>0</v>
      </c>
      <c r="W755" s="140">
        <v>0</v>
      </c>
      <c r="X755" s="140">
        <v>0</v>
      </c>
      <c r="Y755" s="140">
        <v>0</v>
      </c>
      <c r="Z755" s="140">
        <v>0</v>
      </c>
      <c r="AB755" s="139">
        <f t="shared" si="46"/>
        <v>0</v>
      </c>
    </row>
    <row r="756" spans="1:28" x14ac:dyDescent="0.2">
      <c r="A756" s="127" t="str">
        <f>'Scenario List'!$A$18</f>
        <v>16- Social Cost Included for Idaho</v>
      </c>
      <c r="B756" s="128" t="s">
        <v>17</v>
      </c>
      <c r="D756" s="140">
        <v>0</v>
      </c>
      <c r="E756" s="140">
        <v>0</v>
      </c>
      <c r="F756" s="140">
        <v>6.7666466459931875</v>
      </c>
      <c r="G756" s="140">
        <v>0</v>
      </c>
      <c r="H756" s="140">
        <v>0</v>
      </c>
      <c r="I756" s="140">
        <v>0</v>
      </c>
      <c r="J756" s="140">
        <v>0</v>
      </c>
      <c r="K756" s="140">
        <v>0</v>
      </c>
      <c r="L756" s="140">
        <v>0</v>
      </c>
      <c r="M756" s="140">
        <v>0</v>
      </c>
      <c r="N756" s="140">
        <v>0</v>
      </c>
      <c r="O756" s="140">
        <v>0</v>
      </c>
      <c r="P756" s="140">
        <v>0</v>
      </c>
      <c r="Q756" s="140">
        <v>0</v>
      </c>
      <c r="R756" s="140">
        <v>0</v>
      </c>
      <c r="S756" s="140">
        <v>0</v>
      </c>
      <c r="T756" s="140">
        <v>0</v>
      </c>
      <c r="U756" s="140">
        <v>0</v>
      </c>
      <c r="V756" s="140">
        <v>0</v>
      </c>
      <c r="W756" s="140">
        <v>0</v>
      </c>
      <c r="X756" s="140">
        <v>0</v>
      </c>
      <c r="Y756" s="140">
        <v>0</v>
      </c>
      <c r="Z756" s="140">
        <v>0</v>
      </c>
      <c r="AB756" s="139">
        <f t="shared" si="46"/>
        <v>6.7666466459931875</v>
      </c>
    </row>
    <row r="757" spans="1:28" x14ac:dyDescent="0.2">
      <c r="A757" s="127" t="str">
        <f>'Scenario List'!$A$18</f>
        <v>16- Social Cost Included for Idaho</v>
      </c>
      <c r="B757" s="128" t="s">
        <v>18</v>
      </c>
      <c r="D757" s="140">
        <v>1.4925587498065935</v>
      </c>
      <c r="E757" s="140">
        <v>1.8639075264582106</v>
      </c>
      <c r="F757" s="140">
        <v>2.1032789915566701</v>
      </c>
      <c r="G757" s="140">
        <v>2.4807016974072464</v>
      </c>
      <c r="H757" s="140">
        <v>2.656133030138391</v>
      </c>
      <c r="I757" s="140">
        <v>2.8242223083563029</v>
      </c>
      <c r="J757" s="140">
        <v>2.8360119989508714</v>
      </c>
      <c r="K757" s="140">
        <v>2.7061003765747387</v>
      </c>
      <c r="L757" s="140">
        <v>3.0945787961773519</v>
      </c>
      <c r="M757" s="140">
        <v>3.2637253116942979</v>
      </c>
      <c r="N757" s="140">
        <v>3.1409406244941991</v>
      </c>
      <c r="O757" s="140">
        <v>3.2163489947087207</v>
      </c>
      <c r="P757" s="140">
        <v>3.1590913456446259</v>
      </c>
      <c r="Q757" s="140">
        <v>3.1973940465348818</v>
      </c>
      <c r="R757" s="140">
        <v>2.8741640933774875</v>
      </c>
      <c r="S757" s="140">
        <v>2.5712056022625873</v>
      </c>
      <c r="T757" s="140">
        <v>2.4620693616336879</v>
      </c>
      <c r="U757" s="140">
        <v>2.4716961563164332</v>
      </c>
      <c r="V757" s="140">
        <v>2.1918397991389185</v>
      </c>
      <c r="W757" s="140">
        <v>2.2638634890541667</v>
      </c>
      <c r="X757" s="140">
        <v>1.379184799378038</v>
      </c>
      <c r="Y757" s="140">
        <v>1.5857458552940713</v>
      </c>
      <c r="Z757" s="140">
        <v>0.87945856182685844</v>
      </c>
      <c r="AB757" s="139">
        <f t="shared" si="46"/>
        <v>56.714221516785351</v>
      </c>
    </row>
    <row r="758" spans="1:28" x14ac:dyDescent="0.2">
      <c r="A758" s="127" t="str">
        <f>'Scenario List'!$A$18</f>
        <v>16- Social Cost Included for Idaho</v>
      </c>
      <c r="B758" s="128" t="s">
        <v>19</v>
      </c>
      <c r="D758" s="140">
        <v>1.399504773368913</v>
      </c>
      <c r="E758" s="140">
        <v>1.7800481248795477</v>
      </c>
      <c r="F758" s="140">
        <v>2.0525814631672397</v>
      </c>
      <c r="G758" s="140">
        <v>2.4892917713364184</v>
      </c>
      <c r="H758" s="140">
        <v>2.7256065167196626</v>
      </c>
      <c r="I758" s="140">
        <v>2.9520463750317969</v>
      </c>
      <c r="J758" s="140">
        <v>3.0150345160579839</v>
      </c>
      <c r="K758" s="140">
        <v>2.942929842366528</v>
      </c>
      <c r="L758" s="140">
        <v>3.3576338050560643</v>
      </c>
      <c r="M758" s="140">
        <v>3.6033089895144137</v>
      </c>
      <c r="N758" s="140">
        <v>3.5211115132854012</v>
      </c>
      <c r="O758" s="140">
        <v>3.5951040102841354</v>
      </c>
      <c r="P758" s="140">
        <v>3.5065437315547996</v>
      </c>
      <c r="Q758" s="140">
        <v>3.4942876990386438</v>
      </c>
      <c r="R758" s="140">
        <v>3.0919738651259365</v>
      </c>
      <c r="S758" s="140">
        <v>2.671218805134302</v>
      </c>
      <c r="T758" s="140">
        <v>2.5346162789839823</v>
      </c>
      <c r="U758" s="140">
        <v>2.4721469866762646</v>
      </c>
      <c r="V758" s="140">
        <v>2.0982176544601145</v>
      </c>
      <c r="W758" s="140">
        <v>2.1609066238641432</v>
      </c>
      <c r="X758" s="140">
        <v>1.3557148259280751</v>
      </c>
      <c r="Y758" s="140">
        <v>1.5531816894163626</v>
      </c>
      <c r="Z758" s="140">
        <v>0.87104878309055067</v>
      </c>
      <c r="AB758" s="139">
        <f t="shared" si="46"/>
        <v>59.24405864434128</v>
      </c>
    </row>
    <row r="759" spans="1:28" x14ac:dyDescent="0.2">
      <c r="A759" s="127" t="str">
        <f>'Scenario List'!$A$18</f>
        <v>16- Social Cost Included for Idaho</v>
      </c>
      <c r="B759" s="128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  <c r="AB759" s="139"/>
    </row>
    <row r="760" spans="1:28" x14ac:dyDescent="0.2">
      <c r="A760" s="127" t="str">
        <f>'Scenario List'!$A$18</f>
        <v>16- Social Cost Included for Idaho</v>
      </c>
      <c r="B760" s="132" t="s">
        <v>8</v>
      </c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  <c r="AB760" s="139"/>
    </row>
    <row r="761" spans="1:28" x14ac:dyDescent="0.2">
      <c r="A761" s="127" t="str">
        <f>'Scenario List'!$A$18</f>
        <v>16- Social Cost Included for Idaho</v>
      </c>
      <c r="B761" s="128" t="s">
        <v>12</v>
      </c>
      <c r="D761" s="140">
        <v>0</v>
      </c>
      <c r="E761" s="140">
        <v>0</v>
      </c>
      <c r="F761" s="140">
        <v>0</v>
      </c>
      <c r="G761" s="140">
        <v>0</v>
      </c>
      <c r="H761" s="140">
        <v>0</v>
      </c>
      <c r="I761" s="140">
        <v>0</v>
      </c>
      <c r="J761" s="140">
        <v>0</v>
      </c>
      <c r="K761" s="140">
        <v>0</v>
      </c>
      <c r="L761" s="140">
        <v>0</v>
      </c>
      <c r="M761" s="140">
        <v>0</v>
      </c>
      <c r="N761" s="140">
        <v>0</v>
      </c>
      <c r="O761" s="140">
        <v>0</v>
      </c>
      <c r="P761" s="140">
        <v>0</v>
      </c>
      <c r="Q761" s="140">
        <v>0</v>
      </c>
      <c r="R761" s="140">
        <v>0</v>
      </c>
      <c r="S761" s="140">
        <v>0</v>
      </c>
      <c r="T761" s="140">
        <v>0</v>
      </c>
      <c r="U761" s="140">
        <v>0</v>
      </c>
      <c r="V761" s="140">
        <v>0</v>
      </c>
      <c r="W761" s="140">
        <v>112.29122045259001</v>
      </c>
      <c r="X761" s="140">
        <v>0</v>
      </c>
      <c r="Y761" s="140">
        <v>0</v>
      </c>
      <c r="Z761" s="140">
        <v>90.411644967408066</v>
      </c>
      <c r="AB761" s="139">
        <f t="shared" ref="AB761:AB771" si="47">SUM(C761:Z761)</f>
        <v>202.70286541999809</v>
      </c>
    </row>
    <row r="762" spans="1:28" x14ac:dyDescent="0.2">
      <c r="A762" s="127" t="str">
        <f>'Scenario List'!$A$18</f>
        <v>16- Social Cost Included for Idaho</v>
      </c>
      <c r="B762" s="128" t="s">
        <v>13</v>
      </c>
      <c r="D762" s="140">
        <v>0</v>
      </c>
      <c r="E762" s="140">
        <v>0</v>
      </c>
      <c r="F762" s="140">
        <v>0</v>
      </c>
      <c r="G762" s="140">
        <v>0</v>
      </c>
      <c r="H762" s="140">
        <v>0</v>
      </c>
      <c r="I762" s="140">
        <v>0</v>
      </c>
      <c r="J762" s="140">
        <v>0</v>
      </c>
      <c r="K762" s="140">
        <v>0</v>
      </c>
      <c r="L762" s="140">
        <v>0</v>
      </c>
      <c r="M762" s="140">
        <v>0</v>
      </c>
      <c r="N762" s="140">
        <v>0</v>
      </c>
      <c r="O762" s="140">
        <v>0</v>
      </c>
      <c r="P762" s="140">
        <v>0</v>
      </c>
      <c r="Q762" s="140">
        <v>0</v>
      </c>
      <c r="R762" s="140">
        <v>0</v>
      </c>
      <c r="S762" s="140">
        <v>0</v>
      </c>
      <c r="T762" s="140">
        <v>0</v>
      </c>
      <c r="U762" s="140">
        <v>0</v>
      </c>
      <c r="V762" s="140">
        <v>0</v>
      </c>
      <c r="W762" s="140">
        <v>0</v>
      </c>
      <c r="X762" s="140">
        <v>0</v>
      </c>
      <c r="Y762" s="140">
        <v>0</v>
      </c>
      <c r="Z762" s="140">
        <v>0</v>
      </c>
      <c r="AB762" s="139">
        <f t="shared" si="47"/>
        <v>0</v>
      </c>
    </row>
    <row r="763" spans="1:28" x14ac:dyDescent="0.2">
      <c r="A763" s="127" t="str">
        <f>'Scenario List'!$A$18</f>
        <v>16- Social Cost Included for Idaho</v>
      </c>
      <c r="B763" s="128" t="s">
        <v>14</v>
      </c>
      <c r="D763" s="140">
        <v>0</v>
      </c>
      <c r="E763" s="140">
        <v>0</v>
      </c>
      <c r="F763" s="140">
        <v>0</v>
      </c>
      <c r="G763" s="140">
        <v>0</v>
      </c>
      <c r="H763" s="140">
        <v>0</v>
      </c>
      <c r="I763" s="140">
        <v>0</v>
      </c>
      <c r="J763" s="140">
        <v>0</v>
      </c>
      <c r="K763" s="140">
        <v>0</v>
      </c>
      <c r="L763" s="140">
        <v>0</v>
      </c>
      <c r="M763" s="140">
        <v>0</v>
      </c>
      <c r="N763" s="140">
        <v>0</v>
      </c>
      <c r="O763" s="140">
        <v>0</v>
      </c>
      <c r="P763" s="140">
        <v>0</v>
      </c>
      <c r="Q763" s="140">
        <v>0</v>
      </c>
      <c r="R763" s="140">
        <v>0</v>
      </c>
      <c r="S763" s="140">
        <v>0</v>
      </c>
      <c r="T763" s="140">
        <v>0</v>
      </c>
      <c r="U763" s="140">
        <v>0</v>
      </c>
      <c r="V763" s="140">
        <v>0</v>
      </c>
      <c r="W763" s="140">
        <v>0</v>
      </c>
      <c r="X763" s="140">
        <v>0</v>
      </c>
      <c r="Y763" s="140">
        <v>0</v>
      </c>
      <c r="Z763" s="140">
        <v>0</v>
      </c>
      <c r="AB763" s="139">
        <f t="shared" si="47"/>
        <v>0</v>
      </c>
    </row>
    <row r="764" spans="1:28" x14ac:dyDescent="0.2">
      <c r="A764" s="127" t="str">
        <f>'Scenario List'!$A$18</f>
        <v>16- Social Cost Included for Idaho</v>
      </c>
      <c r="B764" s="128" t="s">
        <v>15</v>
      </c>
      <c r="D764" s="140">
        <v>0</v>
      </c>
      <c r="E764" s="140">
        <v>0</v>
      </c>
      <c r="F764" s="140">
        <v>0</v>
      </c>
      <c r="G764" s="140">
        <v>0</v>
      </c>
      <c r="H764" s="140">
        <v>0</v>
      </c>
      <c r="I764" s="140">
        <v>0</v>
      </c>
      <c r="J764" s="140">
        <v>0</v>
      </c>
      <c r="K764" s="140">
        <v>0</v>
      </c>
      <c r="L764" s="140">
        <v>0</v>
      </c>
      <c r="M764" s="140">
        <v>0</v>
      </c>
      <c r="N764" s="140">
        <v>0</v>
      </c>
      <c r="O764" s="140">
        <v>0</v>
      </c>
      <c r="P764" s="140">
        <v>0</v>
      </c>
      <c r="Q764" s="140">
        <v>0</v>
      </c>
      <c r="R764" s="140">
        <v>0</v>
      </c>
      <c r="S764" s="140">
        <v>0</v>
      </c>
      <c r="T764" s="140">
        <v>0</v>
      </c>
      <c r="U764" s="140">
        <v>0</v>
      </c>
      <c r="V764" s="140">
        <v>0</v>
      </c>
      <c r="W764" s="140">
        <v>0</v>
      </c>
      <c r="X764" s="140">
        <v>0</v>
      </c>
      <c r="Y764" s="140">
        <v>0</v>
      </c>
      <c r="Z764" s="140">
        <v>0</v>
      </c>
      <c r="AB764" s="139">
        <f t="shared" si="47"/>
        <v>0</v>
      </c>
    </row>
    <row r="765" spans="1:28" x14ac:dyDescent="0.2">
      <c r="A765" s="127" t="str">
        <f>'Scenario List'!$A$18</f>
        <v>16- Social Cost Included for Idaho</v>
      </c>
      <c r="B765" s="128" t="s">
        <v>16</v>
      </c>
      <c r="D765" s="140">
        <v>0</v>
      </c>
      <c r="E765" s="140">
        <v>0</v>
      </c>
      <c r="F765" s="140">
        <v>0</v>
      </c>
      <c r="G765" s="140">
        <v>0</v>
      </c>
      <c r="H765" s="140">
        <v>0</v>
      </c>
      <c r="I765" s="140">
        <v>0</v>
      </c>
      <c r="J765" s="140">
        <v>0</v>
      </c>
      <c r="K765" s="140">
        <v>0</v>
      </c>
      <c r="L765" s="140">
        <v>0</v>
      </c>
      <c r="M765" s="140">
        <v>0</v>
      </c>
      <c r="N765" s="140">
        <v>0</v>
      </c>
      <c r="O765" s="140">
        <v>0</v>
      </c>
      <c r="P765" s="140">
        <v>0</v>
      </c>
      <c r="Q765" s="140">
        <v>0</v>
      </c>
      <c r="R765" s="140">
        <v>0</v>
      </c>
      <c r="S765" s="140">
        <v>0</v>
      </c>
      <c r="T765" s="140">
        <v>0</v>
      </c>
      <c r="U765" s="140">
        <v>0</v>
      </c>
      <c r="V765" s="140">
        <v>0</v>
      </c>
      <c r="W765" s="140">
        <v>0</v>
      </c>
      <c r="X765" s="140">
        <v>0</v>
      </c>
      <c r="Y765" s="140">
        <v>0</v>
      </c>
      <c r="Z765" s="140">
        <v>0</v>
      </c>
      <c r="AB765" s="139">
        <f t="shared" si="47"/>
        <v>0</v>
      </c>
    </row>
    <row r="766" spans="1:28" x14ac:dyDescent="0.2">
      <c r="A766" s="127" t="str">
        <f>'Scenario List'!$A$18</f>
        <v>16- Social Cost Included for Idaho</v>
      </c>
      <c r="B766" s="128" t="s">
        <v>85</v>
      </c>
      <c r="D766" s="140">
        <v>0</v>
      </c>
      <c r="E766" s="140">
        <v>0</v>
      </c>
      <c r="F766" s="140">
        <v>0</v>
      </c>
      <c r="G766" s="140">
        <v>0</v>
      </c>
      <c r="H766" s="140">
        <v>0</v>
      </c>
      <c r="I766" s="140">
        <v>0</v>
      </c>
      <c r="J766" s="140">
        <v>0</v>
      </c>
      <c r="K766" s="140">
        <v>0</v>
      </c>
      <c r="L766" s="140">
        <v>0</v>
      </c>
      <c r="M766" s="140">
        <v>0</v>
      </c>
      <c r="N766" s="140">
        <v>0</v>
      </c>
      <c r="O766" s="140">
        <v>0</v>
      </c>
      <c r="P766" s="140">
        <v>0</v>
      </c>
      <c r="Q766" s="140">
        <v>0</v>
      </c>
      <c r="R766" s="140">
        <v>0</v>
      </c>
      <c r="S766" s="140">
        <v>0</v>
      </c>
      <c r="T766" s="140">
        <v>0</v>
      </c>
      <c r="U766" s="140">
        <v>0</v>
      </c>
      <c r="V766" s="140">
        <v>0</v>
      </c>
      <c r="W766" s="140">
        <v>0</v>
      </c>
      <c r="X766" s="140">
        <v>0</v>
      </c>
      <c r="Y766" s="140">
        <v>0</v>
      </c>
      <c r="Z766" s="140">
        <v>0</v>
      </c>
      <c r="AB766" s="139">
        <f t="shared" si="47"/>
        <v>0</v>
      </c>
    </row>
    <row r="767" spans="1:28" x14ac:dyDescent="0.2">
      <c r="A767" s="127" t="str">
        <f>'Scenario List'!$A$18</f>
        <v>16- Social Cost Included for Idaho</v>
      </c>
      <c r="B767" s="128" t="s">
        <v>86</v>
      </c>
      <c r="D767" s="140">
        <v>0</v>
      </c>
      <c r="E767" s="140">
        <v>0</v>
      </c>
      <c r="F767" s="140">
        <v>0</v>
      </c>
      <c r="G767" s="140">
        <v>0</v>
      </c>
      <c r="H767" s="140">
        <v>0</v>
      </c>
      <c r="I767" s="140">
        <v>0</v>
      </c>
      <c r="J767" s="140">
        <v>0</v>
      </c>
      <c r="K767" s="140">
        <v>0</v>
      </c>
      <c r="L767" s="140">
        <v>0</v>
      </c>
      <c r="M767" s="140">
        <v>20</v>
      </c>
      <c r="N767" s="140">
        <v>0</v>
      </c>
      <c r="O767" s="140">
        <v>0</v>
      </c>
      <c r="P767" s="140">
        <v>0</v>
      </c>
      <c r="Q767" s="140">
        <v>0</v>
      </c>
      <c r="R767" s="140">
        <v>0</v>
      </c>
      <c r="S767" s="140">
        <v>0</v>
      </c>
      <c r="T767" s="140">
        <v>0</v>
      </c>
      <c r="U767" s="140">
        <v>0</v>
      </c>
      <c r="V767" s="140">
        <v>0</v>
      </c>
      <c r="W767" s="140">
        <v>0</v>
      </c>
      <c r="X767" s="140">
        <v>0</v>
      </c>
      <c r="Y767" s="140">
        <v>0</v>
      </c>
      <c r="Z767" s="140">
        <v>0</v>
      </c>
      <c r="AB767" s="139">
        <f t="shared" si="47"/>
        <v>20</v>
      </c>
    </row>
    <row r="768" spans="1:28" x14ac:dyDescent="0.2">
      <c r="A768" s="127" t="str">
        <f>'Scenario List'!$A$18</f>
        <v>16- Social Cost Included for Idaho</v>
      </c>
      <c r="B768" s="128" t="s">
        <v>87</v>
      </c>
      <c r="D768" s="140">
        <v>0</v>
      </c>
      <c r="E768" s="140">
        <v>0</v>
      </c>
      <c r="F768" s="140">
        <v>0</v>
      </c>
      <c r="G768" s="140">
        <v>0</v>
      </c>
      <c r="H768" s="140">
        <v>0</v>
      </c>
      <c r="I768" s="140">
        <v>0</v>
      </c>
      <c r="J768" s="140">
        <v>0</v>
      </c>
      <c r="K768" s="140">
        <v>0</v>
      </c>
      <c r="L768" s="140">
        <v>0</v>
      </c>
      <c r="M768" s="140">
        <v>0</v>
      </c>
      <c r="N768" s="140">
        <v>0</v>
      </c>
      <c r="O768" s="140">
        <v>0</v>
      </c>
      <c r="P768" s="140">
        <v>0</v>
      </c>
      <c r="Q768" s="140">
        <v>0</v>
      </c>
      <c r="R768" s="140">
        <v>0</v>
      </c>
      <c r="S768" s="140">
        <v>0</v>
      </c>
      <c r="T768" s="140">
        <v>0</v>
      </c>
      <c r="U768" s="140">
        <v>0</v>
      </c>
      <c r="V768" s="140">
        <v>0</v>
      </c>
      <c r="W768" s="140">
        <v>0</v>
      </c>
      <c r="X768" s="140">
        <v>0</v>
      </c>
      <c r="Y768" s="140">
        <v>0</v>
      </c>
      <c r="Z768" s="140">
        <v>0</v>
      </c>
      <c r="AB768" s="139">
        <f t="shared" si="47"/>
        <v>0</v>
      </c>
    </row>
    <row r="769" spans="1:28" x14ac:dyDescent="0.2">
      <c r="A769" s="127" t="str">
        <f>'Scenario List'!$A$18</f>
        <v>16- Social Cost Included for Idaho</v>
      </c>
      <c r="B769" s="128" t="s">
        <v>17</v>
      </c>
      <c r="D769" s="140">
        <v>0</v>
      </c>
      <c r="E769" s="140">
        <v>0</v>
      </c>
      <c r="F769" s="140">
        <v>0</v>
      </c>
      <c r="G769" s="140">
        <v>0</v>
      </c>
      <c r="H769" s="140">
        <v>0</v>
      </c>
      <c r="I769" s="140">
        <v>0</v>
      </c>
      <c r="J769" s="140">
        <v>0</v>
      </c>
      <c r="K769" s="140">
        <v>0</v>
      </c>
      <c r="L769" s="140">
        <v>0</v>
      </c>
      <c r="M769" s="140">
        <v>0</v>
      </c>
      <c r="N769" s="140">
        <v>0</v>
      </c>
      <c r="O769" s="140">
        <v>0</v>
      </c>
      <c r="P769" s="140">
        <v>0</v>
      </c>
      <c r="Q769" s="140">
        <v>0</v>
      </c>
      <c r="R769" s="140">
        <v>0</v>
      </c>
      <c r="S769" s="140">
        <v>0</v>
      </c>
      <c r="T769" s="140">
        <v>0</v>
      </c>
      <c r="U769" s="140">
        <v>0</v>
      </c>
      <c r="V769" s="140">
        <v>0</v>
      </c>
      <c r="W769" s="140">
        <v>0</v>
      </c>
      <c r="X769" s="140">
        <v>0</v>
      </c>
      <c r="Y769" s="140">
        <v>0</v>
      </c>
      <c r="Z769" s="140">
        <v>0</v>
      </c>
      <c r="AB769" s="139">
        <f t="shared" si="47"/>
        <v>0</v>
      </c>
    </row>
    <row r="770" spans="1:28" x14ac:dyDescent="0.2">
      <c r="A770" s="127" t="str">
        <f>'Scenario List'!$A$18</f>
        <v>16- Social Cost Included for Idaho</v>
      </c>
      <c r="B770" s="128" t="s">
        <v>18</v>
      </c>
      <c r="D770" s="140">
        <v>0.66981705273056502</v>
      </c>
      <c r="E770" s="140">
        <v>0.82198038317033595</v>
      </c>
      <c r="F770" s="140">
        <v>0.94768333277364358</v>
      </c>
      <c r="G770" s="140">
        <v>1.1018681922279647</v>
      </c>
      <c r="H770" s="140">
        <v>1.1852199599200328</v>
      </c>
      <c r="I770" s="140">
        <v>1.254791575948599</v>
      </c>
      <c r="J770" s="140">
        <v>1.248164800613857</v>
      </c>
      <c r="K770" s="140">
        <v>1.2281380441136251</v>
      </c>
      <c r="L770" s="140">
        <v>1.3416980261548943</v>
      </c>
      <c r="M770" s="140">
        <v>1.401383079901672</v>
      </c>
      <c r="N770" s="140">
        <v>1.3269243207819343</v>
      </c>
      <c r="O770" s="140">
        <v>1.3589079799305033</v>
      </c>
      <c r="P770" s="140">
        <v>1.3275737429462175</v>
      </c>
      <c r="Q770" s="140">
        <v>1.3414345403748325</v>
      </c>
      <c r="R770" s="140">
        <v>1.2051092582160905</v>
      </c>
      <c r="S770" s="140">
        <v>1.0678375865705334</v>
      </c>
      <c r="T770" s="140">
        <v>1.0282366563361514</v>
      </c>
      <c r="U770" s="140">
        <v>1.0346169031242383</v>
      </c>
      <c r="V770" s="140">
        <v>0.89245189239712985</v>
      </c>
      <c r="W770" s="140">
        <v>0.94107227229548585</v>
      </c>
      <c r="X770" s="140">
        <v>0.53056385642977588</v>
      </c>
      <c r="Y770" s="140">
        <v>0.58991963796846747</v>
      </c>
      <c r="Z770" s="140">
        <v>0.36378125221886748</v>
      </c>
      <c r="AB770" s="139">
        <f>SUM(C770:Z770)</f>
        <v>24.209174347145417</v>
      </c>
    </row>
    <row r="771" spans="1:28" x14ac:dyDescent="0.2">
      <c r="A771" s="127" t="str">
        <f>'Scenario List'!$A$18</f>
        <v>16- Social Cost Included for Idaho</v>
      </c>
      <c r="B771" s="128" t="s">
        <v>19</v>
      </c>
      <c r="D771" s="140">
        <v>0.62073775400949849</v>
      </c>
      <c r="E771" s="140">
        <v>0.78099557525692909</v>
      </c>
      <c r="F771" s="140">
        <v>0.9212924889230063</v>
      </c>
      <c r="G771" s="140">
        <v>1.1011943252941547</v>
      </c>
      <c r="H771" s="140">
        <v>1.2093703194522609</v>
      </c>
      <c r="I771" s="140">
        <v>1.3058963408531179</v>
      </c>
      <c r="J771" s="140">
        <v>1.323886520013299</v>
      </c>
      <c r="K771" s="140">
        <v>1.3274408916244465</v>
      </c>
      <c r="L771" s="140">
        <v>1.457419174885155</v>
      </c>
      <c r="M771" s="140">
        <v>1.543341945567045</v>
      </c>
      <c r="N771" s="140">
        <v>1.4856851524955292</v>
      </c>
      <c r="O771" s="140">
        <v>1.5247512372117686</v>
      </c>
      <c r="P771" s="140">
        <v>1.4872309927579028</v>
      </c>
      <c r="Q771" s="140">
        <v>1.4876427801119476</v>
      </c>
      <c r="R771" s="140">
        <v>1.322521414131586</v>
      </c>
      <c r="S771" s="140">
        <v>1.1659163367583254</v>
      </c>
      <c r="T771" s="140">
        <v>1.1258490473893801</v>
      </c>
      <c r="U771" s="140">
        <v>1.1050754371790603</v>
      </c>
      <c r="V771" s="140">
        <v>0.93161487194657866</v>
      </c>
      <c r="W771" s="140">
        <v>0.96830711609152331</v>
      </c>
      <c r="X771" s="140">
        <v>0.5905511503640497</v>
      </c>
      <c r="Y771" s="140">
        <v>0.65019193006992637</v>
      </c>
      <c r="Z771" s="140">
        <v>0.41502926096414683</v>
      </c>
      <c r="AB771" s="139">
        <f t="shared" si="47"/>
        <v>25.851942063350638</v>
      </c>
    </row>
    <row r="772" spans="1:28" x14ac:dyDescent="0.2">
      <c r="A772" s="127" t="str">
        <f>'Scenario List'!$A$18</f>
        <v>16- Social Cost Included for Idaho</v>
      </c>
      <c r="B772" s="128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  <c r="AB772" s="139"/>
    </row>
    <row r="773" spans="1:28" x14ac:dyDescent="0.2">
      <c r="A773" s="127" t="str">
        <f>'Scenario List'!$A$18</f>
        <v>16- Social Cost Included for Idaho</v>
      </c>
      <c r="B773" s="131" t="s">
        <v>31</v>
      </c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  <c r="AB773" s="139"/>
    </row>
    <row r="774" spans="1:28" x14ac:dyDescent="0.2">
      <c r="A774" s="127" t="str">
        <f>'Scenario List'!$A$18</f>
        <v>16- Social Cost Included for Idaho</v>
      </c>
      <c r="B774" s="128" t="s">
        <v>1</v>
      </c>
      <c r="D774" s="140">
        <v>20.160049538275612</v>
      </c>
      <c r="E774" s="140">
        <v>43.898985442517372</v>
      </c>
      <c r="F774" s="140">
        <v>71.005598987831561</v>
      </c>
      <c r="G774" s="140">
        <v>100.16883846640214</v>
      </c>
      <c r="H774" s="140">
        <v>131.92585340786431</v>
      </c>
      <c r="I774" s="140">
        <v>166.4009434812433</v>
      </c>
      <c r="J774" s="140">
        <v>202.41428807490956</v>
      </c>
      <c r="K774" s="140">
        <v>237.2896607630741</v>
      </c>
      <c r="L774" s="140">
        <v>272.23095491403615</v>
      </c>
      <c r="M774" s="140">
        <v>305.4898535630453</v>
      </c>
      <c r="N774" s="140">
        <v>335.27913088970161</v>
      </c>
      <c r="O774" s="140">
        <v>361.8284520028397</v>
      </c>
      <c r="P774" s="140">
        <v>385.39744123408656</v>
      </c>
      <c r="Q774" s="140">
        <v>406.39227881238116</v>
      </c>
      <c r="R774" s="140">
        <v>425.28328903794659</v>
      </c>
      <c r="S774" s="140">
        <v>440.31700244790437</v>
      </c>
      <c r="T774" s="140">
        <v>454.08330037355995</v>
      </c>
      <c r="U774" s="140">
        <v>466.39288183429085</v>
      </c>
      <c r="V774" s="140">
        <v>478.14081427707782</v>
      </c>
      <c r="W774" s="140">
        <v>489.30238955095206</v>
      </c>
      <c r="X774" s="140">
        <v>495.66939938365027</v>
      </c>
      <c r="Y774" s="140">
        <v>501.90027055913174</v>
      </c>
      <c r="Z774" s="140">
        <v>506.65057552425435</v>
      </c>
      <c r="AB774" s="139">
        <f>Z774/8.76</f>
        <v>57.836823689983376</v>
      </c>
    </row>
    <row r="775" spans="1:28" x14ac:dyDescent="0.2">
      <c r="A775" s="127" t="str">
        <f>'Scenario List'!$A$18</f>
        <v>16- Social Cost Included for Idaho</v>
      </c>
      <c r="B775" s="128" t="s">
        <v>2</v>
      </c>
      <c r="D775" s="140">
        <v>8.0068639620558812</v>
      </c>
      <c r="E775" s="140">
        <v>17.330732693732944</v>
      </c>
      <c r="F775" s="140">
        <v>27.938851652214613</v>
      </c>
      <c r="G775" s="140">
        <v>39.268318410982083</v>
      </c>
      <c r="H775" s="140">
        <v>51.546562617119633</v>
      </c>
      <c r="I775" s="140">
        <v>64.648237407911537</v>
      </c>
      <c r="J775" s="140">
        <v>78.181096018732276</v>
      </c>
      <c r="K775" s="140">
        <v>91.323950840723427</v>
      </c>
      <c r="L775" s="140">
        <v>104.6531243562525</v>
      </c>
      <c r="M775" s="140">
        <v>117.64051671404208</v>
      </c>
      <c r="N775" s="140">
        <v>128.85196524524275</v>
      </c>
      <c r="O775" s="140">
        <v>139.22755401433295</v>
      </c>
      <c r="P775" s="140">
        <v>148.8566574402723</v>
      </c>
      <c r="Q775" s="140">
        <v>157.8362012503047</v>
      </c>
      <c r="R775" s="140">
        <v>166.20592578711387</v>
      </c>
      <c r="S775" s="140">
        <v>173.02461322374501</v>
      </c>
      <c r="T775" s="140">
        <v>179.37230918225856</v>
      </c>
      <c r="U775" s="140">
        <v>185.10614035830349</v>
      </c>
      <c r="V775" s="140">
        <v>190.50436654664625</v>
      </c>
      <c r="W775" s="140">
        <v>195.65991308034171</v>
      </c>
      <c r="X775" s="140">
        <v>198.31180298601475</v>
      </c>
      <c r="Y775" s="140">
        <v>200.87396809377063</v>
      </c>
      <c r="Z775" s="140">
        <v>202.99906723624613</v>
      </c>
      <c r="AB775" s="139">
        <f>Z775/8.76</f>
        <v>23.173409501854582</v>
      </c>
    </row>
    <row r="776" spans="1:28" x14ac:dyDescent="0.2">
      <c r="A776" s="127" t="str">
        <f>'Scenario List'!$A$18</f>
        <v>16- Social Cost Included for Idaho</v>
      </c>
      <c r="B776" s="128" t="s">
        <v>4</v>
      </c>
      <c r="D776" s="140">
        <v>28.166913500331493</v>
      </c>
      <c r="E776" s="140">
        <v>61.229718136250312</v>
      </c>
      <c r="F776" s="140">
        <v>98.944450640046171</v>
      </c>
      <c r="G776" s="140">
        <v>139.43715687738421</v>
      </c>
      <c r="H776" s="140">
        <v>183.47241602498394</v>
      </c>
      <c r="I776" s="140">
        <v>231.04918088915485</v>
      </c>
      <c r="J776" s="140">
        <v>280.59538409364183</v>
      </c>
      <c r="K776" s="140">
        <v>328.61361160379749</v>
      </c>
      <c r="L776" s="140">
        <v>376.88407927028868</v>
      </c>
      <c r="M776" s="140">
        <v>423.13037027708737</v>
      </c>
      <c r="N776" s="140">
        <v>464.13109613494436</v>
      </c>
      <c r="O776" s="140">
        <v>501.05600601717265</v>
      </c>
      <c r="P776" s="140">
        <v>534.25409867435883</v>
      </c>
      <c r="Q776" s="140">
        <v>564.22848006268589</v>
      </c>
      <c r="R776" s="140">
        <v>591.48921482506046</v>
      </c>
      <c r="S776" s="140">
        <v>613.34161567164938</v>
      </c>
      <c r="T776" s="140">
        <v>633.45560955581846</v>
      </c>
      <c r="U776" s="140">
        <v>651.49902219259434</v>
      </c>
      <c r="V776" s="140">
        <v>668.6451808237241</v>
      </c>
      <c r="W776" s="140">
        <v>684.96230263129382</v>
      </c>
      <c r="X776" s="140">
        <v>693.98120236966497</v>
      </c>
      <c r="Y776" s="140">
        <v>702.77423865290234</v>
      </c>
      <c r="Z776" s="140">
        <v>709.64964276050046</v>
      </c>
      <c r="AB776" s="139">
        <f>Z776/8.76</f>
        <v>81.010233191837955</v>
      </c>
    </row>
    <row r="777" spans="1:28" x14ac:dyDescent="0.2">
      <c r="A777" s="127" t="str">
        <f>'Scenario List'!$A$18</f>
        <v>16- Social Cost Included for Idaho</v>
      </c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  <c r="AB777" s="139"/>
    </row>
    <row r="778" spans="1:28" x14ac:dyDescent="0.2">
      <c r="A778" s="127" t="str">
        <f>'Scenario List'!$A$18</f>
        <v>16- Social Cost Included for Idaho</v>
      </c>
      <c r="B778" s="141" t="s">
        <v>32</v>
      </c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  <c r="AB778" s="139"/>
    </row>
    <row r="779" spans="1:28" x14ac:dyDescent="0.2">
      <c r="A779" s="127" t="str">
        <f>'Scenario List'!$A$18</f>
        <v>16- Social Cost Included for Idaho</v>
      </c>
      <c r="B779" s="128" t="s">
        <v>1</v>
      </c>
      <c r="D779" s="140">
        <v>2.4263076564450539</v>
      </c>
      <c r="E779" s="140">
        <v>5.2852594672689124</v>
      </c>
      <c r="F779" s="140">
        <v>8.5467351908069595</v>
      </c>
      <c r="G779" s="140">
        <v>12.058103252442701</v>
      </c>
      <c r="H779" s="140">
        <v>15.882138030404741</v>
      </c>
      <c r="I779" s="140">
        <v>20.040204050878163</v>
      </c>
      <c r="J779" s="140">
        <v>24.371476186564887</v>
      </c>
      <c r="K779" s="140">
        <v>28.572617667641957</v>
      </c>
      <c r="L779" s="140">
        <v>32.782776928680576</v>
      </c>
      <c r="M779" s="140">
        <v>36.803084828728437</v>
      </c>
      <c r="N779" s="140">
        <v>40.382330553499777</v>
      </c>
      <c r="O779" s="140">
        <v>43.584008208216787</v>
      </c>
      <c r="P779" s="140">
        <v>46.427331453874388</v>
      </c>
      <c r="Q779" s="140">
        <v>48.977647258998815</v>
      </c>
      <c r="R779" s="140">
        <v>51.242107424441535</v>
      </c>
      <c r="S779" s="140">
        <v>53.058824496333635</v>
      </c>
      <c r="T779" s="140">
        <v>54.723311505953326</v>
      </c>
      <c r="U779" s="140">
        <v>56.232417468586831</v>
      </c>
      <c r="V779" s="140">
        <v>57.635017252244261</v>
      </c>
      <c r="W779" s="140">
        <v>58.987134347421751</v>
      </c>
      <c r="X779" s="140">
        <v>59.761741330266332</v>
      </c>
      <c r="Y779" s="140">
        <v>60.542539292752174</v>
      </c>
      <c r="Z779" s="140">
        <v>61.101071599461996</v>
      </c>
      <c r="AB779" s="139">
        <f>Z779</f>
        <v>61.101071599461996</v>
      </c>
    </row>
    <row r="780" spans="1:28" x14ac:dyDescent="0.2">
      <c r="A780" s="127" t="str">
        <f>'Scenario List'!$A$18</f>
        <v>16- Social Cost Included for Idaho</v>
      </c>
      <c r="B780" s="128" t="s">
        <v>2</v>
      </c>
      <c r="D780" s="140">
        <v>0.96364422609012412</v>
      </c>
      <c r="E780" s="140">
        <v>2.0865497942816758</v>
      </c>
      <c r="F780" s="140">
        <v>3.3629174320132034</v>
      </c>
      <c r="G780" s="140">
        <v>4.7270333289153275</v>
      </c>
      <c r="H780" s="140">
        <v>6.2055283428562076</v>
      </c>
      <c r="I780" s="140">
        <v>7.7857964148514451</v>
      </c>
      <c r="J780" s="140">
        <v>9.4133113723421022</v>
      </c>
      <c r="K780" s="140">
        <v>10.996536144387193</v>
      </c>
      <c r="L780" s="140">
        <v>12.602608074984943</v>
      </c>
      <c r="M780" s="140">
        <v>14.172431147631658</v>
      </c>
      <c r="N780" s="140">
        <v>15.519434923354138</v>
      </c>
      <c r="O780" s="140">
        <v>16.770640405368148</v>
      </c>
      <c r="P780" s="140">
        <v>17.932182818768837</v>
      </c>
      <c r="Q780" s="140">
        <v>19.022127615536416</v>
      </c>
      <c r="R780" s="140">
        <v>20.026044105866866</v>
      </c>
      <c r="S780" s="140">
        <v>20.849711765720137</v>
      </c>
      <c r="T780" s="140">
        <v>21.616841541734132</v>
      </c>
      <c r="U780" s="140">
        <v>22.318020205817056</v>
      </c>
      <c r="V780" s="140">
        <v>22.96336586355747</v>
      </c>
      <c r="W780" s="140">
        <v>23.587494820670905</v>
      </c>
      <c r="X780" s="140">
        <v>23.910006725300939</v>
      </c>
      <c r="Y780" s="140">
        <v>24.230750249765698</v>
      </c>
      <c r="Z780" s="140">
        <v>24.481291724560759</v>
      </c>
      <c r="AB780" s="139">
        <f>Z780</f>
        <v>24.481291724560759</v>
      </c>
    </row>
    <row r="781" spans="1:28" x14ac:dyDescent="0.2">
      <c r="A781" s="127" t="str">
        <f>'Scenario List'!$A$18</f>
        <v>16- Social Cost Included for Idaho</v>
      </c>
      <c r="B781" s="128" t="s">
        <v>4</v>
      </c>
      <c r="D781" s="140">
        <v>3.3899518825351782</v>
      </c>
      <c r="E781" s="140">
        <v>7.3718092615505881</v>
      </c>
      <c r="F781" s="140">
        <v>11.909652622820163</v>
      </c>
      <c r="G781" s="140">
        <v>16.785136581358028</v>
      </c>
      <c r="H781" s="140">
        <v>22.087666373260948</v>
      </c>
      <c r="I781" s="140">
        <v>27.826000465729607</v>
      </c>
      <c r="J781" s="140">
        <v>33.784787558906991</v>
      </c>
      <c r="K781" s="140">
        <v>39.56915381202915</v>
      </c>
      <c r="L781" s="140">
        <v>45.385385003665519</v>
      </c>
      <c r="M781" s="140">
        <v>50.975515976360093</v>
      </c>
      <c r="N781" s="140">
        <v>55.901765476853917</v>
      </c>
      <c r="O781" s="140">
        <v>60.354648613584935</v>
      </c>
      <c r="P781" s="140">
        <v>64.359514272643224</v>
      </c>
      <c r="Q781" s="140">
        <v>67.999774874535234</v>
      </c>
      <c r="R781" s="140">
        <v>71.268151530308401</v>
      </c>
      <c r="S781" s="140">
        <v>73.908536262053772</v>
      </c>
      <c r="T781" s="140">
        <v>76.340153047687465</v>
      </c>
      <c r="U781" s="140">
        <v>78.550437674403895</v>
      </c>
      <c r="V781" s="140">
        <v>80.598383115801738</v>
      </c>
      <c r="W781" s="140">
        <v>82.574629168092656</v>
      </c>
      <c r="X781" s="140">
        <v>83.671748055567264</v>
      </c>
      <c r="Y781" s="140">
        <v>84.773289542517873</v>
      </c>
      <c r="Z781" s="140">
        <v>85.582363324022751</v>
      </c>
      <c r="AB781" s="139">
        <f>Z781</f>
        <v>85.582363324022751</v>
      </c>
    </row>
    <row r="784" spans="1:28" x14ac:dyDescent="0.2">
      <c r="A784" s="127" t="str">
        <f>'Scenario List'!$A$19</f>
        <v>17- WA Maximum Customer Benefits</v>
      </c>
      <c r="B784" s="131" t="s">
        <v>11</v>
      </c>
    </row>
    <row r="785" spans="1:28" x14ac:dyDescent="0.2">
      <c r="A785" s="127" t="str">
        <f>'Scenario List'!$A$19</f>
        <v>17- WA Maximum Customer Benefits</v>
      </c>
      <c r="B785" s="128" t="s">
        <v>12</v>
      </c>
      <c r="D785" s="140">
        <v>0</v>
      </c>
      <c r="E785" s="140">
        <v>0</v>
      </c>
      <c r="F785" s="140">
        <v>0</v>
      </c>
      <c r="G785" s="140">
        <v>0</v>
      </c>
      <c r="H785" s="140">
        <v>0</v>
      </c>
      <c r="I785" s="140">
        <v>0</v>
      </c>
      <c r="J785" s="140">
        <v>0</v>
      </c>
      <c r="K785" s="140">
        <v>0</v>
      </c>
      <c r="L785" s="140">
        <v>0</v>
      </c>
      <c r="M785" s="140">
        <v>0</v>
      </c>
      <c r="N785" s="140">
        <v>0</v>
      </c>
      <c r="O785" s="140">
        <v>0</v>
      </c>
      <c r="P785" s="140">
        <v>0</v>
      </c>
      <c r="Q785" s="140">
        <v>0</v>
      </c>
      <c r="R785" s="140">
        <v>0</v>
      </c>
      <c r="S785" s="140">
        <v>0</v>
      </c>
      <c r="T785" s="140">
        <v>0</v>
      </c>
      <c r="U785" s="140">
        <v>0</v>
      </c>
      <c r="V785" s="140">
        <v>0</v>
      </c>
      <c r="W785" s="140">
        <v>0</v>
      </c>
      <c r="X785" s="140">
        <v>0</v>
      </c>
      <c r="Y785" s="140">
        <v>0</v>
      </c>
      <c r="Z785" s="140">
        <v>0</v>
      </c>
      <c r="AB785" s="139">
        <f>SUM(C785:Z785)</f>
        <v>0</v>
      </c>
    </row>
    <row r="786" spans="1:28" x14ac:dyDescent="0.2">
      <c r="A786" s="127" t="str">
        <f>'Scenario List'!$A$19</f>
        <v>17- WA Maximum Customer Benefits</v>
      </c>
      <c r="B786" s="128" t="s">
        <v>13</v>
      </c>
      <c r="D786" s="140">
        <v>0</v>
      </c>
      <c r="E786" s="140">
        <v>0</v>
      </c>
      <c r="F786" s="140">
        <v>0</v>
      </c>
      <c r="G786" s="140">
        <v>0</v>
      </c>
      <c r="H786" s="140">
        <v>0</v>
      </c>
      <c r="I786" s="140">
        <v>0</v>
      </c>
      <c r="J786" s="140">
        <v>0</v>
      </c>
      <c r="K786" s="140">
        <v>0</v>
      </c>
      <c r="L786" s="140">
        <v>0</v>
      </c>
      <c r="M786" s="140">
        <v>0</v>
      </c>
      <c r="N786" s="140">
        <v>0</v>
      </c>
      <c r="O786" s="140">
        <v>0</v>
      </c>
      <c r="P786" s="140">
        <v>0</v>
      </c>
      <c r="Q786" s="140">
        <v>0</v>
      </c>
      <c r="R786" s="140">
        <v>0</v>
      </c>
      <c r="S786" s="140">
        <v>0</v>
      </c>
      <c r="T786" s="140">
        <v>0</v>
      </c>
      <c r="U786" s="140">
        <v>0</v>
      </c>
      <c r="V786" s="140">
        <v>0</v>
      </c>
      <c r="W786" s="140">
        <v>0</v>
      </c>
      <c r="X786" s="140">
        <v>0</v>
      </c>
      <c r="Y786" s="140">
        <v>0</v>
      </c>
      <c r="Z786" s="140">
        <v>0</v>
      </c>
      <c r="AB786" s="139">
        <f t="shared" ref="AB786:AB793" si="48">SUM(C786:Z786)</f>
        <v>0</v>
      </c>
    </row>
    <row r="787" spans="1:28" x14ac:dyDescent="0.2">
      <c r="A787" s="127" t="str">
        <f>'Scenario List'!$A$19</f>
        <v>17- WA Maximum Customer Benefits</v>
      </c>
      <c r="B787" s="128" t="s">
        <v>14</v>
      </c>
      <c r="D787" s="140">
        <v>0</v>
      </c>
      <c r="E787" s="140">
        <v>0</v>
      </c>
      <c r="F787" s="140">
        <v>0</v>
      </c>
      <c r="G787" s="140">
        <v>0</v>
      </c>
      <c r="H787" s="140">
        <v>0</v>
      </c>
      <c r="I787" s="140">
        <v>0</v>
      </c>
      <c r="J787" s="140">
        <v>0</v>
      </c>
      <c r="K787" s="140">
        <v>0</v>
      </c>
      <c r="L787" s="140">
        <v>0</v>
      </c>
      <c r="M787" s="140">
        <v>0</v>
      </c>
      <c r="N787" s="140">
        <v>0</v>
      </c>
      <c r="O787" s="140">
        <v>0</v>
      </c>
      <c r="P787" s="140">
        <v>0</v>
      </c>
      <c r="Q787" s="140">
        <v>0</v>
      </c>
      <c r="R787" s="140">
        <v>0</v>
      </c>
      <c r="S787" s="140">
        <v>0</v>
      </c>
      <c r="T787" s="140">
        <v>0</v>
      </c>
      <c r="U787" s="140">
        <v>0</v>
      </c>
      <c r="V787" s="140">
        <v>0</v>
      </c>
      <c r="W787" s="140">
        <v>0</v>
      </c>
      <c r="X787" s="140">
        <v>0</v>
      </c>
      <c r="Y787" s="140">
        <v>0</v>
      </c>
      <c r="Z787" s="140">
        <v>0</v>
      </c>
      <c r="AB787" s="139">
        <f t="shared" si="48"/>
        <v>0</v>
      </c>
    </row>
    <row r="788" spans="1:28" x14ac:dyDescent="0.2">
      <c r="A788" s="127" t="str">
        <f>'Scenario List'!$A$19</f>
        <v>17- WA Maximum Customer Benefits</v>
      </c>
      <c r="B788" s="128" t="s">
        <v>15</v>
      </c>
      <c r="D788" s="140">
        <v>0</v>
      </c>
      <c r="E788" s="140">
        <v>0</v>
      </c>
      <c r="F788" s="140">
        <v>0</v>
      </c>
      <c r="G788" s="140">
        <v>0</v>
      </c>
      <c r="H788" s="140">
        <v>0</v>
      </c>
      <c r="I788" s="140">
        <v>0</v>
      </c>
      <c r="J788" s="140">
        <v>0</v>
      </c>
      <c r="K788" s="140">
        <v>0</v>
      </c>
      <c r="L788" s="140">
        <v>0</v>
      </c>
      <c r="M788" s="140">
        <v>0</v>
      </c>
      <c r="N788" s="140">
        <v>0</v>
      </c>
      <c r="O788" s="140">
        <v>0</v>
      </c>
      <c r="P788" s="140">
        <v>0</v>
      </c>
      <c r="Q788" s="140">
        <v>0</v>
      </c>
      <c r="R788" s="140">
        <v>0</v>
      </c>
      <c r="S788" s="140">
        <v>0</v>
      </c>
      <c r="T788" s="140">
        <v>0</v>
      </c>
      <c r="U788" s="140">
        <v>0</v>
      </c>
      <c r="V788" s="140">
        <v>0</v>
      </c>
      <c r="W788" s="140">
        <v>0</v>
      </c>
      <c r="X788" s="140">
        <v>0</v>
      </c>
      <c r="Y788" s="140">
        <v>0</v>
      </c>
      <c r="Z788" s="140">
        <v>0</v>
      </c>
      <c r="AB788" s="139">
        <f t="shared" si="48"/>
        <v>0</v>
      </c>
    </row>
    <row r="789" spans="1:28" x14ac:dyDescent="0.2">
      <c r="A789" s="127" t="str">
        <f>'Scenario List'!$A$19</f>
        <v>17- WA Maximum Customer Benefits</v>
      </c>
      <c r="B789" s="128" t="s">
        <v>16</v>
      </c>
      <c r="D789" s="140">
        <v>0</v>
      </c>
      <c r="E789" s="140">
        <v>0</v>
      </c>
      <c r="F789" s="140">
        <v>0</v>
      </c>
      <c r="G789" s="140">
        <v>0</v>
      </c>
      <c r="H789" s="140">
        <v>0</v>
      </c>
      <c r="I789" s="140">
        <v>0</v>
      </c>
      <c r="J789" s="140">
        <v>0</v>
      </c>
      <c r="K789" s="140">
        <v>0</v>
      </c>
      <c r="L789" s="140">
        <v>0</v>
      </c>
      <c r="M789" s="140">
        <v>0</v>
      </c>
      <c r="N789" s="140">
        <v>0</v>
      </c>
      <c r="O789" s="140">
        <v>0</v>
      </c>
      <c r="P789" s="140">
        <v>0</v>
      </c>
      <c r="Q789" s="140">
        <v>0</v>
      </c>
      <c r="R789" s="140">
        <v>0</v>
      </c>
      <c r="S789" s="140">
        <v>0</v>
      </c>
      <c r="T789" s="140">
        <v>0</v>
      </c>
      <c r="U789" s="140">
        <v>0</v>
      </c>
      <c r="V789" s="140">
        <v>0</v>
      </c>
      <c r="W789" s="140">
        <v>0</v>
      </c>
      <c r="X789" s="140">
        <v>0</v>
      </c>
      <c r="Y789" s="140">
        <v>50</v>
      </c>
      <c r="Z789" s="140">
        <v>0</v>
      </c>
      <c r="AB789" s="139">
        <f t="shared" si="48"/>
        <v>50</v>
      </c>
    </row>
    <row r="790" spans="1:28" x14ac:dyDescent="0.2">
      <c r="A790" s="127" t="str">
        <f>'Scenario List'!$A$19</f>
        <v>17- WA Maximum Customer Benefits</v>
      </c>
      <c r="B790" s="128" t="s">
        <v>85</v>
      </c>
      <c r="D790" s="140">
        <v>0</v>
      </c>
      <c r="E790" s="140">
        <v>0</v>
      </c>
      <c r="F790" s="140">
        <v>0</v>
      </c>
      <c r="G790" s="140">
        <v>0</v>
      </c>
      <c r="H790" s="140">
        <v>0</v>
      </c>
      <c r="I790" s="140">
        <v>0</v>
      </c>
      <c r="J790" s="140">
        <v>0</v>
      </c>
      <c r="K790" s="140">
        <v>0</v>
      </c>
      <c r="L790" s="140">
        <v>0</v>
      </c>
      <c r="M790" s="140">
        <v>0</v>
      </c>
      <c r="N790" s="140">
        <v>0</v>
      </c>
      <c r="O790" s="140">
        <v>0</v>
      </c>
      <c r="P790" s="140">
        <v>0</v>
      </c>
      <c r="Q790" s="140">
        <v>0</v>
      </c>
      <c r="R790" s="140">
        <v>0</v>
      </c>
      <c r="S790" s="140">
        <v>0</v>
      </c>
      <c r="T790" s="140">
        <v>0</v>
      </c>
      <c r="U790" s="140">
        <v>0</v>
      </c>
      <c r="V790" s="140">
        <v>0</v>
      </c>
      <c r="W790" s="140">
        <v>0</v>
      </c>
      <c r="X790" s="140">
        <v>0</v>
      </c>
      <c r="Y790" s="140">
        <v>0</v>
      </c>
      <c r="Z790" s="140">
        <v>0</v>
      </c>
      <c r="AB790" s="139">
        <f t="shared" si="48"/>
        <v>0</v>
      </c>
    </row>
    <row r="791" spans="1:28" x14ac:dyDescent="0.2">
      <c r="A791" s="127" t="str">
        <f>'Scenario List'!$A$19</f>
        <v>17- WA Maximum Customer Benefits</v>
      </c>
      <c r="B791" s="128" t="s">
        <v>86</v>
      </c>
      <c r="D791" s="140">
        <v>0</v>
      </c>
      <c r="E791" s="140">
        <v>0</v>
      </c>
      <c r="F791" s="140">
        <v>0</v>
      </c>
      <c r="G791" s="140">
        <v>0</v>
      </c>
      <c r="H791" s="140">
        <v>0</v>
      </c>
      <c r="I791" s="140">
        <v>0</v>
      </c>
      <c r="J791" s="140">
        <v>0</v>
      </c>
      <c r="K791" s="140">
        <v>0</v>
      </c>
      <c r="L791" s="140">
        <v>0</v>
      </c>
      <c r="M791" s="140">
        <v>0</v>
      </c>
      <c r="N791" s="140">
        <v>0</v>
      </c>
      <c r="O791" s="140">
        <v>0</v>
      </c>
      <c r="P791" s="140">
        <v>0</v>
      </c>
      <c r="Q791" s="140">
        <v>0</v>
      </c>
      <c r="R791" s="140">
        <v>0</v>
      </c>
      <c r="S791" s="140">
        <v>0</v>
      </c>
      <c r="T791" s="140">
        <v>0</v>
      </c>
      <c r="U791" s="140">
        <v>0</v>
      </c>
      <c r="V791" s="140">
        <v>0</v>
      </c>
      <c r="W791" s="140">
        <v>0</v>
      </c>
      <c r="X791" s="140">
        <v>0</v>
      </c>
      <c r="Y791" s="140">
        <v>0</v>
      </c>
      <c r="Z791" s="140">
        <v>0</v>
      </c>
      <c r="AB791" s="139">
        <f t="shared" si="48"/>
        <v>0</v>
      </c>
    </row>
    <row r="792" spans="1:28" x14ac:dyDescent="0.2">
      <c r="A792" s="127" t="str">
        <f>'Scenario List'!$A$19</f>
        <v>17- WA Maximum Customer Benefits</v>
      </c>
      <c r="B792" s="128" t="s">
        <v>87</v>
      </c>
      <c r="D792" s="140">
        <v>0</v>
      </c>
      <c r="E792" s="140">
        <v>0</v>
      </c>
      <c r="F792" s="140">
        <v>0</v>
      </c>
      <c r="G792" s="140">
        <v>0</v>
      </c>
      <c r="H792" s="140">
        <v>0</v>
      </c>
      <c r="I792" s="140">
        <v>0</v>
      </c>
      <c r="J792" s="140">
        <v>0</v>
      </c>
      <c r="K792" s="140">
        <v>0</v>
      </c>
      <c r="L792" s="140">
        <v>0</v>
      </c>
      <c r="M792" s="140">
        <v>0</v>
      </c>
      <c r="N792" s="140">
        <v>0</v>
      </c>
      <c r="O792" s="140">
        <v>0</v>
      </c>
      <c r="P792" s="140">
        <v>5</v>
      </c>
      <c r="Q792" s="140">
        <v>0</v>
      </c>
      <c r="R792" s="140">
        <v>0</v>
      </c>
      <c r="S792" s="140">
        <v>0</v>
      </c>
      <c r="T792" s="140">
        <v>0</v>
      </c>
      <c r="U792" s="140">
        <v>0</v>
      </c>
      <c r="V792" s="140">
        <v>0</v>
      </c>
      <c r="W792" s="140">
        <v>0</v>
      </c>
      <c r="X792" s="140">
        <v>0</v>
      </c>
      <c r="Y792" s="140">
        <v>0</v>
      </c>
      <c r="Z792" s="140">
        <v>0</v>
      </c>
      <c r="AB792" s="139">
        <f t="shared" si="48"/>
        <v>5</v>
      </c>
    </row>
    <row r="793" spans="1:28" x14ac:dyDescent="0.2">
      <c r="A793" s="127" t="str">
        <f>'Scenario List'!$A$19</f>
        <v>17- WA Maximum Customer Benefits</v>
      </c>
      <c r="B793" s="128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  <c r="AB793" s="139">
        <f t="shared" si="48"/>
        <v>0</v>
      </c>
    </row>
    <row r="794" spans="1:28" x14ac:dyDescent="0.2">
      <c r="A794" s="127" t="str">
        <f>'Scenario List'!$A$19</f>
        <v>17- WA Maximum Customer Benefits</v>
      </c>
      <c r="B794" s="128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  <c r="AB794" s="139"/>
    </row>
    <row r="795" spans="1:28" x14ac:dyDescent="0.2">
      <c r="A795" s="127" t="str">
        <f>'Scenario List'!$A$19</f>
        <v>17- WA Maximum Customer Benefits</v>
      </c>
      <c r="B795" s="128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  <c r="AB795" s="139"/>
    </row>
    <row r="796" spans="1:28" x14ac:dyDescent="0.2">
      <c r="A796" s="127" t="str">
        <f>'Scenario List'!$A$19</f>
        <v>17- WA Maximum Customer Benefits</v>
      </c>
      <c r="B796" s="131" t="s">
        <v>9</v>
      </c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  <c r="AB796" s="139"/>
    </row>
    <row r="797" spans="1:28" x14ac:dyDescent="0.2">
      <c r="A797" s="127" t="str">
        <f>'Scenario List'!$A$19</f>
        <v>17- WA Maximum Customer Benefits</v>
      </c>
      <c r="B797" s="128" t="s">
        <v>12</v>
      </c>
      <c r="D797" s="140">
        <v>0</v>
      </c>
      <c r="E797" s="140">
        <v>0</v>
      </c>
      <c r="F797" s="140">
        <v>0</v>
      </c>
      <c r="G797" s="140">
        <v>0</v>
      </c>
      <c r="H797" s="140">
        <v>0</v>
      </c>
      <c r="I797" s="140">
        <v>0</v>
      </c>
      <c r="J797" s="140">
        <v>0</v>
      </c>
      <c r="K797" s="140">
        <v>0</v>
      </c>
      <c r="L797" s="140">
        <v>0</v>
      </c>
      <c r="M797" s="140">
        <v>0</v>
      </c>
      <c r="N797" s="140">
        <v>0</v>
      </c>
      <c r="O797" s="140">
        <v>0</v>
      </c>
      <c r="P797" s="140">
        <v>0</v>
      </c>
      <c r="Q797" s="140">
        <v>0</v>
      </c>
      <c r="R797" s="140">
        <v>0</v>
      </c>
      <c r="S797" s="140">
        <v>0</v>
      </c>
      <c r="T797" s="140">
        <v>0</v>
      </c>
      <c r="U797" s="140">
        <v>0</v>
      </c>
      <c r="V797" s="140">
        <v>0</v>
      </c>
      <c r="W797" s="140">
        <v>0</v>
      </c>
      <c r="X797" s="140">
        <v>0</v>
      </c>
      <c r="Y797" s="140">
        <v>0</v>
      </c>
      <c r="Z797" s="140">
        <v>0</v>
      </c>
      <c r="AB797" s="139">
        <f t="shared" ref="AB797:AB807" si="49">SUM(C797:Z797)</f>
        <v>0</v>
      </c>
    </row>
    <row r="798" spans="1:28" x14ac:dyDescent="0.2">
      <c r="A798" s="127" t="str">
        <f>'Scenario List'!$A$19</f>
        <v>17- WA Maximum Customer Benefits</v>
      </c>
      <c r="B798" s="128" t="s">
        <v>13</v>
      </c>
      <c r="D798" s="140">
        <v>0</v>
      </c>
      <c r="E798" s="140">
        <v>1.3210110887759787</v>
      </c>
      <c r="F798" s="140">
        <v>0.8</v>
      </c>
      <c r="G798" s="140">
        <v>0.8</v>
      </c>
      <c r="H798" s="140">
        <v>1</v>
      </c>
      <c r="I798" s="140">
        <v>1.2000000000000002</v>
      </c>
      <c r="J798" s="140">
        <v>1.8</v>
      </c>
      <c r="K798" s="140">
        <v>2.2000000000000002</v>
      </c>
      <c r="L798" s="140">
        <v>2.6</v>
      </c>
      <c r="M798" s="140">
        <v>3</v>
      </c>
      <c r="N798" s="140">
        <v>3</v>
      </c>
      <c r="O798" s="140">
        <v>85.242528104346874</v>
      </c>
      <c r="P798" s="140">
        <v>17.585570508407358</v>
      </c>
      <c r="Q798" s="140">
        <v>22.997455485656374</v>
      </c>
      <c r="R798" s="140">
        <v>27.903951427201751</v>
      </c>
      <c r="S798" s="140">
        <v>32.754611825681991</v>
      </c>
      <c r="T798" s="140">
        <v>37.828358466889412</v>
      </c>
      <c r="U798" s="140">
        <v>44.345635878276866</v>
      </c>
      <c r="V798" s="140">
        <v>57.412092063298594</v>
      </c>
      <c r="W798" s="140">
        <v>71.640412820846791</v>
      </c>
      <c r="X798" s="140">
        <v>78.91845414447198</v>
      </c>
      <c r="Y798" s="140">
        <v>84.029247019947661</v>
      </c>
      <c r="Z798" s="140">
        <v>248.17792187996997</v>
      </c>
      <c r="AB798" s="139">
        <f t="shared" si="49"/>
        <v>826.55725071377162</v>
      </c>
    </row>
    <row r="799" spans="1:28" x14ac:dyDescent="0.2">
      <c r="A799" s="127" t="str">
        <f>'Scenario List'!$A$19</f>
        <v>17- WA Maximum Customer Benefits</v>
      </c>
      <c r="B799" s="128" t="s">
        <v>14</v>
      </c>
      <c r="D799" s="140">
        <v>0</v>
      </c>
      <c r="E799" s="140">
        <v>0.52101108877597879</v>
      </c>
      <c r="F799" s="140">
        <v>0</v>
      </c>
      <c r="G799" s="140">
        <v>0</v>
      </c>
      <c r="H799" s="140">
        <v>0</v>
      </c>
      <c r="I799" s="140">
        <v>0</v>
      </c>
      <c r="J799" s="140">
        <v>0</v>
      </c>
      <c r="K799" s="140">
        <v>0</v>
      </c>
      <c r="L799" s="140">
        <v>0</v>
      </c>
      <c r="M799" s="140">
        <v>0</v>
      </c>
      <c r="N799" s="140">
        <v>0</v>
      </c>
      <c r="O799" s="140">
        <v>0</v>
      </c>
      <c r="P799" s="140">
        <v>0</v>
      </c>
      <c r="Q799" s="140">
        <v>0</v>
      </c>
      <c r="R799" s="140">
        <v>0</v>
      </c>
      <c r="S799" s="140">
        <v>0</v>
      </c>
      <c r="T799" s="140">
        <v>0</v>
      </c>
      <c r="U799" s="140">
        <v>0</v>
      </c>
      <c r="V799" s="140">
        <v>0</v>
      </c>
      <c r="W799" s="140">
        <v>0</v>
      </c>
      <c r="X799" s="140">
        <v>0</v>
      </c>
      <c r="Y799" s="140">
        <v>0</v>
      </c>
      <c r="Z799" s="140">
        <v>0</v>
      </c>
      <c r="AB799" s="139">
        <f t="shared" si="49"/>
        <v>0.52101108877597879</v>
      </c>
    </row>
    <row r="800" spans="1:28" x14ac:dyDescent="0.2">
      <c r="A800" s="127" t="str">
        <f>'Scenario List'!$A$19</f>
        <v>17- WA Maximum Customer Benefits</v>
      </c>
      <c r="B800" s="128" t="s">
        <v>15</v>
      </c>
      <c r="D800" s="140">
        <v>0</v>
      </c>
      <c r="E800" s="140">
        <v>0</v>
      </c>
      <c r="F800" s="140">
        <v>0</v>
      </c>
      <c r="G800" s="140">
        <v>0</v>
      </c>
      <c r="H800" s="140">
        <v>0</v>
      </c>
      <c r="I800" s="140">
        <v>0</v>
      </c>
      <c r="J800" s="140">
        <v>0</v>
      </c>
      <c r="K800" s="140">
        <v>200</v>
      </c>
      <c r="L800" s="140">
        <v>0</v>
      </c>
      <c r="M800" s="140">
        <v>0</v>
      </c>
      <c r="N800" s="140">
        <v>0</v>
      </c>
      <c r="O800" s="140">
        <v>0</v>
      </c>
      <c r="P800" s="140">
        <v>0</v>
      </c>
      <c r="Q800" s="140">
        <v>0</v>
      </c>
      <c r="R800" s="140">
        <v>0</v>
      </c>
      <c r="S800" s="140">
        <v>0</v>
      </c>
      <c r="T800" s="140">
        <v>0</v>
      </c>
      <c r="U800" s="140">
        <v>0</v>
      </c>
      <c r="V800" s="140">
        <v>140</v>
      </c>
      <c r="W800" s="140">
        <v>105</v>
      </c>
      <c r="X800" s="140">
        <v>200</v>
      </c>
      <c r="Y800" s="140">
        <v>0</v>
      </c>
      <c r="Z800" s="140">
        <v>199.99999999999994</v>
      </c>
      <c r="AB800" s="139">
        <f t="shared" si="49"/>
        <v>845</v>
      </c>
    </row>
    <row r="801" spans="1:28" x14ac:dyDescent="0.2">
      <c r="A801" s="127" t="str">
        <f>'Scenario List'!$A$19</f>
        <v>17- WA Maximum Customer Benefits</v>
      </c>
      <c r="B801" s="128" t="s">
        <v>16</v>
      </c>
      <c r="D801" s="140">
        <v>0</v>
      </c>
      <c r="E801" s="140">
        <v>0</v>
      </c>
      <c r="F801" s="140">
        <v>1.398494167327156</v>
      </c>
      <c r="G801" s="140">
        <v>1.0846773096677138</v>
      </c>
      <c r="H801" s="140">
        <v>0.87053923601784899</v>
      </c>
      <c r="I801" s="140">
        <v>0.91034659646301419</v>
      </c>
      <c r="J801" s="140">
        <v>0.90613423273307592</v>
      </c>
      <c r="K801" s="140">
        <v>0.9231405904617862</v>
      </c>
      <c r="L801" s="140">
        <v>0.90957613318644315</v>
      </c>
      <c r="M801" s="140">
        <v>1.5705109515337012</v>
      </c>
      <c r="N801" s="140">
        <v>1.2473589787504404</v>
      </c>
      <c r="O801" s="140">
        <v>0</v>
      </c>
      <c r="P801" s="140">
        <v>0</v>
      </c>
      <c r="Q801" s="140">
        <v>61.715229896919134</v>
      </c>
      <c r="R801" s="140">
        <v>50</v>
      </c>
      <c r="S801" s="140">
        <v>0</v>
      </c>
      <c r="T801" s="140">
        <v>50</v>
      </c>
      <c r="U801" s="140">
        <v>0</v>
      </c>
      <c r="V801" s="140">
        <v>50</v>
      </c>
      <c r="W801" s="140">
        <v>196.61331627815912</v>
      </c>
      <c r="X801" s="140">
        <v>50</v>
      </c>
      <c r="Y801" s="140">
        <v>0</v>
      </c>
      <c r="Z801" s="140">
        <v>90.318705697112762</v>
      </c>
      <c r="AB801" s="139">
        <f t="shared" si="49"/>
        <v>558.46803006833215</v>
      </c>
    </row>
    <row r="802" spans="1:28" x14ac:dyDescent="0.2">
      <c r="A802" s="127" t="str">
        <f>'Scenario List'!$A$19</f>
        <v>17- WA Maximum Customer Benefits</v>
      </c>
      <c r="B802" s="128" t="s">
        <v>85</v>
      </c>
      <c r="D802" s="140">
        <v>0</v>
      </c>
      <c r="E802" s="140">
        <v>0</v>
      </c>
      <c r="F802" s="140">
        <v>0</v>
      </c>
      <c r="G802" s="140">
        <v>0</v>
      </c>
      <c r="H802" s="140">
        <v>0</v>
      </c>
      <c r="I802" s="140">
        <v>0</v>
      </c>
      <c r="J802" s="140">
        <v>0</v>
      </c>
      <c r="K802" s="140">
        <v>0</v>
      </c>
      <c r="L802" s="140">
        <v>0</v>
      </c>
      <c r="M802" s="140">
        <v>0</v>
      </c>
      <c r="N802" s="140">
        <v>0</v>
      </c>
      <c r="O802" s="140">
        <v>0</v>
      </c>
      <c r="P802" s="140">
        <v>0</v>
      </c>
      <c r="Q802" s="140">
        <v>0</v>
      </c>
      <c r="R802" s="140">
        <v>0</v>
      </c>
      <c r="S802" s="140">
        <v>0</v>
      </c>
      <c r="T802" s="140">
        <v>0</v>
      </c>
      <c r="U802" s="140">
        <v>0</v>
      </c>
      <c r="V802" s="140">
        <v>0</v>
      </c>
      <c r="W802" s="140">
        <v>0</v>
      </c>
      <c r="X802" s="140">
        <v>0</v>
      </c>
      <c r="Y802" s="140">
        <v>0</v>
      </c>
      <c r="Z802" s="140">
        <v>227.62911881266649</v>
      </c>
      <c r="AB802" s="139">
        <f t="shared" si="49"/>
        <v>227.62911881266649</v>
      </c>
    </row>
    <row r="803" spans="1:28" x14ac:dyDescent="0.2">
      <c r="A803" s="127" t="str">
        <f>'Scenario List'!$A$19</f>
        <v>17- WA Maximum Customer Benefits</v>
      </c>
      <c r="B803" s="128" t="s">
        <v>86</v>
      </c>
      <c r="D803" s="140">
        <v>0</v>
      </c>
      <c r="E803" s="140">
        <v>0</v>
      </c>
      <c r="F803" s="140">
        <v>0</v>
      </c>
      <c r="G803" s="140">
        <v>0</v>
      </c>
      <c r="H803" s="140">
        <v>0</v>
      </c>
      <c r="I803" s="140">
        <v>0</v>
      </c>
      <c r="J803" s="140">
        <v>0</v>
      </c>
      <c r="K803" s="140">
        <v>0</v>
      </c>
      <c r="L803" s="140">
        <v>0</v>
      </c>
      <c r="M803" s="140">
        <v>20</v>
      </c>
      <c r="N803" s="140">
        <v>0</v>
      </c>
      <c r="O803" s="140">
        <v>0</v>
      </c>
      <c r="P803" s="140">
        <v>0</v>
      </c>
      <c r="Q803" s="140">
        <v>0</v>
      </c>
      <c r="R803" s="140">
        <v>0</v>
      </c>
      <c r="S803" s="140">
        <v>0</v>
      </c>
      <c r="T803" s="140">
        <v>0</v>
      </c>
      <c r="U803" s="140">
        <v>0</v>
      </c>
      <c r="V803" s="140">
        <v>0</v>
      </c>
      <c r="W803" s="140">
        <v>0</v>
      </c>
      <c r="X803" s="140">
        <v>0</v>
      </c>
      <c r="Y803" s="140">
        <v>0</v>
      </c>
      <c r="Z803" s="140">
        <v>20</v>
      </c>
      <c r="AB803" s="139">
        <f t="shared" si="49"/>
        <v>40</v>
      </c>
    </row>
    <row r="804" spans="1:28" x14ac:dyDescent="0.2">
      <c r="A804" s="127" t="str">
        <f>'Scenario List'!$A$19</f>
        <v>17- WA Maximum Customer Benefits</v>
      </c>
      <c r="B804" s="128" t="s">
        <v>87</v>
      </c>
      <c r="D804" s="140">
        <v>0</v>
      </c>
      <c r="E804" s="140">
        <v>0</v>
      </c>
      <c r="F804" s="140">
        <v>0</v>
      </c>
      <c r="G804" s="140">
        <v>0</v>
      </c>
      <c r="H804" s="140">
        <v>0</v>
      </c>
      <c r="I804" s="140">
        <v>0</v>
      </c>
      <c r="J804" s="140">
        <v>0</v>
      </c>
      <c r="K804" s="140">
        <v>0</v>
      </c>
      <c r="L804" s="140">
        <v>0</v>
      </c>
      <c r="M804" s="140">
        <v>0</v>
      </c>
      <c r="N804" s="140">
        <v>0</v>
      </c>
      <c r="O804" s="140">
        <v>0</v>
      </c>
      <c r="P804" s="140">
        <v>0</v>
      </c>
      <c r="Q804" s="140">
        <v>0</v>
      </c>
      <c r="R804" s="140">
        <v>0</v>
      </c>
      <c r="S804" s="140">
        <v>0</v>
      </c>
      <c r="T804" s="140">
        <v>0</v>
      </c>
      <c r="U804" s="140">
        <v>0</v>
      </c>
      <c r="V804" s="140">
        <v>0</v>
      </c>
      <c r="W804" s="140">
        <v>0</v>
      </c>
      <c r="X804" s="140">
        <v>0</v>
      </c>
      <c r="Y804" s="140">
        <v>0</v>
      </c>
      <c r="Z804" s="140">
        <v>0</v>
      </c>
      <c r="AB804" s="139">
        <f t="shared" si="49"/>
        <v>0</v>
      </c>
    </row>
    <row r="805" spans="1:28" x14ac:dyDescent="0.2">
      <c r="A805" s="127" t="str">
        <f>'Scenario List'!$A$19</f>
        <v>17- WA Maximum Customer Benefits</v>
      </c>
      <c r="B805" s="128" t="s">
        <v>17</v>
      </c>
      <c r="D805" s="140">
        <v>0</v>
      </c>
      <c r="E805" s="140">
        <v>0</v>
      </c>
      <c r="F805" s="140">
        <v>6.7666466459931875</v>
      </c>
      <c r="G805" s="140">
        <v>0</v>
      </c>
      <c r="H805" s="140">
        <v>0</v>
      </c>
      <c r="I805" s="140">
        <v>0</v>
      </c>
      <c r="J805" s="140">
        <v>0</v>
      </c>
      <c r="K805" s="140">
        <v>0</v>
      </c>
      <c r="L805" s="140">
        <v>0</v>
      </c>
      <c r="M805" s="140">
        <v>0</v>
      </c>
      <c r="N805" s="140">
        <v>0</v>
      </c>
      <c r="O805" s="140">
        <v>0</v>
      </c>
      <c r="P805" s="140">
        <v>0</v>
      </c>
      <c r="Q805" s="140">
        <v>0</v>
      </c>
      <c r="R805" s="140">
        <v>0</v>
      </c>
      <c r="S805" s="140">
        <v>0</v>
      </c>
      <c r="T805" s="140">
        <v>0</v>
      </c>
      <c r="U805" s="140">
        <v>0</v>
      </c>
      <c r="V805" s="140">
        <v>0</v>
      </c>
      <c r="W805" s="140">
        <v>0</v>
      </c>
      <c r="X805" s="140">
        <v>0</v>
      </c>
      <c r="Y805" s="140">
        <v>0</v>
      </c>
      <c r="Z805" s="140">
        <v>0</v>
      </c>
      <c r="AB805" s="139">
        <f t="shared" si="49"/>
        <v>6.7666466459931875</v>
      </c>
    </row>
    <row r="806" spans="1:28" x14ac:dyDescent="0.2">
      <c r="A806" s="127" t="str">
        <f>'Scenario List'!$A$19</f>
        <v>17- WA Maximum Customer Benefits</v>
      </c>
      <c r="B806" s="128" t="s">
        <v>18</v>
      </c>
      <c r="D806" s="140">
        <v>1.5190432239701959</v>
      </c>
      <c r="E806" s="140">
        <v>1.8924956256665102</v>
      </c>
      <c r="F806" s="140">
        <v>2.1340716577606553</v>
      </c>
      <c r="G806" s="140">
        <v>2.5146895063546513</v>
      </c>
      <c r="H806" s="140">
        <v>2.6938424371351921</v>
      </c>
      <c r="I806" s="140">
        <v>2.8669342754197391</v>
      </c>
      <c r="J806" s="140">
        <v>2.8823413632127544</v>
      </c>
      <c r="K806" s="140">
        <v>2.7580708252448609</v>
      </c>
      <c r="L806" s="140">
        <v>3.1514208732086928</v>
      </c>
      <c r="M806" s="140">
        <v>3.3262148779114398</v>
      </c>
      <c r="N806" s="140">
        <v>3.2031999487016733</v>
      </c>
      <c r="O806" s="140">
        <v>3.2816088471627118</v>
      </c>
      <c r="P806" s="140">
        <v>3.225590207878767</v>
      </c>
      <c r="Q806" s="140">
        <v>3.2668641945967423</v>
      </c>
      <c r="R806" s="140">
        <v>2.9384873690937354</v>
      </c>
      <c r="S806" s="140">
        <v>2.618429991419319</v>
      </c>
      <c r="T806" s="140">
        <v>2.507453330989982</v>
      </c>
      <c r="U806" s="140">
        <v>2.5173354274849942</v>
      </c>
      <c r="V806" s="140">
        <v>2.2307304285485401</v>
      </c>
      <c r="W806" s="140">
        <v>2.3021605938402203</v>
      </c>
      <c r="X806" s="140">
        <v>1.4104181968162877</v>
      </c>
      <c r="Y806" s="140">
        <v>1.6242202156910892</v>
      </c>
      <c r="Z806" s="140">
        <v>0.90665599993741353</v>
      </c>
      <c r="AB806" s="139">
        <f t="shared" si="49"/>
        <v>57.772279418046168</v>
      </c>
    </row>
    <row r="807" spans="1:28" x14ac:dyDescent="0.2">
      <c r="A807" s="127" t="str">
        <f>'Scenario List'!$A$19</f>
        <v>17- WA Maximum Customer Benefits</v>
      </c>
      <c r="B807" s="128" t="s">
        <v>19</v>
      </c>
      <c r="D807" s="140">
        <v>1.4233719312415358</v>
      </c>
      <c r="E807" s="140">
        <v>1.804862555414191</v>
      </c>
      <c r="F807" s="140">
        <v>2.0781153709530749</v>
      </c>
      <c r="G807" s="140">
        <v>2.5161120258179137</v>
      </c>
      <c r="H807" s="140">
        <v>2.7538775507889692</v>
      </c>
      <c r="I807" s="140">
        <v>2.9823905606905665</v>
      </c>
      <c r="J807" s="140">
        <v>3.0460468833935721</v>
      </c>
      <c r="K807" s="140">
        <v>2.9761175580712269</v>
      </c>
      <c r="L807" s="140">
        <v>3.3925270269635419</v>
      </c>
      <c r="M807" s="140">
        <v>3.6408018917138172</v>
      </c>
      <c r="N807" s="140">
        <v>3.5578485597820091</v>
      </c>
      <c r="O807" s="140">
        <v>3.6338853042237815</v>
      </c>
      <c r="P807" s="140">
        <v>3.5465243902963408</v>
      </c>
      <c r="Q807" s="140">
        <v>3.5368702407467012</v>
      </c>
      <c r="R807" s="140">
        <v>3.1309050082895169</v>
      </c>
      <c r="S807" s="140">
        <v>2.6948821256336188</v>
      </c>
      <c r="T807" s="140">
        <v>2.5577805180201238</v>
      </c>
      <c r="U807" s="140">
        <v>2.4962196014982467</v>
      </c>
      <c r="V807" s="140">
        <v>2.1199182641488648</v>
      </c>
      <c r="W807" s="140">
        <v>2.1833142659560423</v>
      </c>
      <c r="X807" s="140">
        <v>1.3741050571137947</v>
      </c>
      <c r="Y807" s="140">
        <v>1.5738351502920409</v>
      </c>
      <c r="Z807" s="140">
        <v>0.88655351188303655</v>
      </c>
      <c r="AB807" s="139">
        <f t="shared" si="49"/>
        <v>59.906865352932527</v>
      </c>
    </row>
    <row r="808" spans="1:28" x14ac:dyDescent="0.2">
      <c r="A808" s="127" t="str">
        <f>'Scenario List'!$A$19</f>
        <v>17- WA Maximum Customer Benefits</v>
      </c>
      <c r="B808" s="128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  <c r="AB808" s="139"/>
    </row>
    <row r="809" spans="1:28" x14ac:dyDescent="0.2">
      <c r="A809" s="127" t="str">
        <f>'Scenario List'!$A$19</f>
        <v>17- WA Maximum Customer Benefits</v>
      </c>
      <c r="B809" s="132" t="s">
        <v>8</v>
      </c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  <c r="AB809" s="139"/>
    </row>
    <row r="810" spans="1:28" x14ac:dyDescent="0.2">
      <c r="A810" s="127" t="str">
        <f>'Scenario List'!$A$19</f>
        <v>17- WA Maximum Customer Benefits</v>
      </c>
      <c r="B810" s="128" t="s">
        <v>12</v>
      </c>
      <c r="D810" s="140">
        <v>0</v>
      </c>
      <c r="E810" s="140">
        <v>0</v>
      </c>
      <c r="F810" s="140">
        <v>0</v>
      </c>
      <c r="G810" s="140">
        <v>0</v>
      </c>
      <c r="H810" s="140">
        <v>0</v>
      </c>
      <c r="I810" s="140">
        <v>0</v>
      </c>
      <c r="J810" s="140">
        <v>0</v>
      </c>
      <c r="K810" s="140">
        <v>0</v>
      </c>
      <c r="L810" s="140">
        <v>0</v>
      </c>
      <c r="M810" s="140">
        <v>0</v>
      </c>
      <c r="N810" s="140">
        <v>0</v>
      </c>
      <c r="O810" s="140">
        <v>90.247500000000457</v>
      </c>
      <c r="P810" s="140">
        <v>0</v>
      </c>
      <c r="Q810" s="140">
        <v>0</v>
      </c>
      <c r="R810" s="140">
        <v>0</v>
      </c>
      <c r="S810" s="140">
        <v>0</v>
      </c>
      <c r="T810" s="140">
        <v>0</v>
      </c>
      <c r="U810" s="140">
        <v>0</v>
      </c>
      <c r="V810" s="140">
        <v>90.247500000000059</v>
      </c>
      <c r="W810" s="140">
        <v>90.247499999999604</v>
      </c>
      <c r="X810" s="140">
        <v>0</v>
      </c>
      <c r="Y810" s="140">
        <v>0</v>
      </c>
      <c r="Z810" s="140">
        <v>0</v>
      </c>
      <c r="AB810" s="139">
        <f t="shared" ref="AB810:AB818" si="50">SUM(C810:Z810)</f>
        <v>270.74250000000012</v>
      </c>
    </row>
    <row r="811" spans="1:28" x14ac:dyDescent="0.2">
      <c r="A811" s="127" t="str">
        <f>'Scenario List'!$A$19</f>
        <v>17- WA Maximum Customer Benefits</v>
      </c>
      <c r="B811" s="128" t="s">
        <v>13</v>
      </c>
      <c r="D811" s="140">
        <v>0</v>
      </c>
      <c r="E811" s="140">
        <v>0</v>
      </c>
      <c r="F811" s="140">
        <v>0</v>
      </c>
      <c r="G811" s="140">
        <v>0</v>
      </c>
      <c r="H811" s="140">
        <v>0</v>
      </c>
      <c r="I811" s="140">
        <v>0</v>
      </c>
      <c r="J811" s="140">
        <v>0</v>
      </c>
      <c r="K811" s="140">
        <v>0</v>
      </c>
      <c r="L811" s="140">
        <v>0</v>
      </c>
      <c r="M811" s="140">
        <v>0</v>
      </c>
      <c r="N811" s="140">
        <v>0</v>
      </c>
      <c r="O811" s="140">
        <v>0</v>
      </c>
      <c r="P811" s="140">
        <v>0</v>
      </c>
      <c r="Q811" s="140">
        <v>0</v>
      </c>
      <c r="R811" s="140">
        <v>0</v>
      </c>
      <c r="S811" s="140">
        <v>0</v>
      </c>
      <c r="T811" s="140">
        <v>0</v>
      </c>
      <c r="U811" s="140">
        <v>0</v>
      </c>
      <c r="V811" s="140">
        <v>0</v>
      </c>
      <c r="W811" s="140">
        <v>0</v>
      </c>
      <c r="X811" s="140">
        <v>0</v>
      </c>
      <c r="Y811" s="140">
        <v>0</v>
      </c>
      <c r="Z811" s="140">
        <v>0</v>
      </c>
      <c r="AB811" s="139">
        <f t="shared" si="50"/>
        <v>0</v>
      </c>
    </row>
    <row r="812" spans="1:28" x14ac:dyDescent="0.2">
      <c r="A812" s="127" t="str">
        <f>'Scenario List'!$A$19</f>
        <v>17- WA Maximum Customer Benefits</v>
      </c>
      <c r="B812" s="128" t="s">
        <v>14</v>
      </c>
      <c r="D812" s="140">
        <v>0</v>
      </c>
      <c r="E812" s="140">
        <v>0</v>
      </c>
      <c r="F812" s="140">
        <v>0</v>
      </c>
      <c r="G812" s="140">
        <v>0</v>
      </c>
      <c r="H812" s="140">
        <v>0</v>
      </c>
      <c r="I812" s="140">
        <v>0</v>
      </c>
      <c r="J812" s="140">
        <v>0</v>
      </c>
      <c r="K812" s="140">
        <v>0</v>
      </c>
      <c r="L812" s="140">
        <v>0</v>
      </c>
      <c r="M812" s="140">
        <v>0</v>
      </c>
      <c r="N812" s="140">
        <v>0</v>
      </c>
      <c r="O812" s="140">
        <v>0</v>
      </c>
      <c r="P812" s="140">
        <v>0</v>
      </c>
      <c r="Q812" s="140">
        <v>0</v>
      </c>
      <c r="R812" s="140">
        <v>0</v>
      </c>
      <c r="S812" s="140">
        <v>0</v>
      </c>
      <c r="T812" s="140">
        <v>0</v>
      </c>
      <c r="U812" s="140">
        <v>0</v>
      </c>
      <c r="V812" s="140">
        <v>0</v>
      </c>
      <c r="W812" s="140">
        <v>0</v>
      </c>
      <c r="X812" s="140">
        <v>0</v>
      </c>
      <c r="Y812" s="140">
        <v>0</v>
      </c>
      <c r="Z812" s="140">
        <v>0</v>
      </c>
      <c r="AB812" s="139">
        <f t="shared" si="50"/>
        <v>0</v>
      </c>
    </row>
    <row r="813" spans="1:28" x14ac:dyDescent="0.2">
      <c r="A813" s="127" t="str">
        <f>'Scenario List'!$A$19</f>
        <v>17- WA Maximum Customer Benefits</v>
      </c>
      <c r="B813" s="128" t="s">
        <v>15</v>
      </c>
      <c r="D813" s="140">
        <v>0</v>
      </c>
      <c r="E813" s="140">
        <v>0</v>
      </c>
      <c r="F813" s="140">
        <v>0</v>
      </c>
      <c r="G813" s="140">
        <v>0</v>
      </c>
      <c r="H813" s="140">
        <v>0</v>
      </c>
      <c r="I813" s="140">
        <v>0</v>
      </c>
      <c r="J813" s="140">
        <v>0</v>
      </c>
      <c r="K813" s="140">
        <v>0</v>
      </c>
      <c r="L813" s="140">
        <v>0</v>
      </c>
      <c r="M813" s="140">
        <v>0</v>
      </c>
      <c r="N813" s="140">
        <v>0</v>
      </c>
      <c r="O813" s="140">
        <v>0</v>
      </c>
      <c r="P813" s="140">
        <v>0</v>
      </c>
      <c r="Q813" s="140">
        <v>0</v>
      </c>
      <c r="R813" s="140">
        <v>0</v>
      </c>
      <c r="S813" s="140">
        <v>0</v>
      </c>
      <c r="T813" s="140">
        <v>0</v>
      </c>
      <c r="U813" s="140">
        <v>0</v>
      </c>
      <c r="V813" s="140">
        <v>0</v>
      </c>
      <c r="W813" s="140">
        <v>0</v>
      </c>
      <c r="X813" s="140">
        <v>0</v>
      </c>
      <c r="Y813" s="140">
        <v>0</v>
      </c>
      <c r="Z813" s="140">
        <v>0</v>
      </c>
      <c r="AB813" s="139">
        <f t="shared" si="50"/>
        <v>0</v>
      </c>
    </row>
    <row r="814" spans="1:28" x14ac:dyDescent="0.2">
      <c r="A814" s="127" t="str">
        <f>'Scenario List'!$A$19</f>
        <v>17- WA Maximum Customer Benefits</v>
      </c>
      <c r="B814" s="128" t="s">
        <v>16</v>
      </c>
      <c r="D814" s="140">
        <v>0</v>
      </c>
      <c r="E814" s="140">
        <v>0</v>
      </c>
      <c r="F814" s="140">
        <v>0</v>
      </c>
      <c r="G814" s="140">
        <v>0</v>
      </c>
      <c r="H814" s="140">
        <v>0</v>
      </c>
      <c r="I814" s="140">
        <v>0</v>
      </c>
      <c r="J814" s="140">
        <v>0</v>
      </c>
      <c r="K814" s="140">
        <v>0</v>
      </c>
      <c r="L814" s="140">
        <v>0</v>
      </c>
      <c r="M814" s="140">
        <v>0</v>
      </c>
      <c r="N814" s="140">
        <v>0</v>
      </c>
      <c r="O814" s="140">
        <v>0</v>
      </c>
      <c r="P814" s="140">
        <v>0</v>
      </c>
      <c r="Q814" s="140">
        <v>0</v>
      </c>
      <c r="R814" s="140">
        <v>0</v>
      </c>
      <c r="S814" s="140">
        <v>0</v>
      </c>
      <c r="T814" s="140">
        <v>0</v>
      </c>
      <c r="U814" s="140">
        <v>0</v>
      </c>
      <c r="V814" s="140">
        <v>0</v>
      </c>
      <c r="W814" s="140">
        <v>0</v>
      </c>
      <c r="X814" s="140">
        <v>0</v>
      </c>
      <c r="Y814" s="140">
        <v>0</v>
      </c>
      <c r="Z814" s="140">
        <v>67.251696157305787</v>
      </c>
      <c r="AB814" s="139">
        <f t="shared" si="50"/>
        <v>67.251696157305787</v>
      </c>
    </row>
    <row r="815" spans="1:28" x14ac:dyDescent="0.2">
      <c r="A815" s="127" t="str">
        <f>'Scenario List'!$A$19</f>
        <v>17- WA Maximum Customer Benefits</v>
      </c>
      <c r="B815" s="128" t="s">
        <v>85</v>
      </c>
      <c r="D815" s="140">
        <v>0</v>
      </c>
      <c r="E815" s="140">
        <v>0</v>
      </c>
      <c r="F815" s="140">
        <v>0</v>
      </c>
      <c r="G815" s="140">
        <v>0</v>
      </c>
      <c r="H815" s="140">
        <v>0</v>
      </c>
      <c r="I815" s="140">
        <v>0</v>
      </c>
      <c r="J815" s="140">
        <v>0</v>
      </c>
      <c r="K815" s="140">
        <v>0</v>
      </c>
      <c r="L815" s="140">
        <v>0</v>
      </c>
      <c r="M815" s="140">
        <v>0</v>
      </c>
      <c r="N815" s="140">
        <v>0</v>
      </c>
      <c r="O815" s="140">
        <v>0</v>
      </c>
      <c r="P815" s="140">
        <v>0</v>
      </c>
      <c r="Q815" s="140">
        <v>0</v>
      </c>
      <c r="R815" s="140">
        <v>0</v>
      </c>
      <c r="S815" s="140">
        <v>0</v>
      </c>
      <c r="T815" s="140">
        <v>0</v>
      </c>
      <c r="U815" s="140">
        <v>0</v>
      </c>
      <c r="V815" s="140">
        <v>0</v>
      </c>
      <c r="W815" s="140">
        <v>0</v>
      </c>
      <c r="X815" s="140">
        <v>0</v>
      </c>
      <c r="Y815" s="140">
        <v>0</v>
      </c>
      <c r="Z815" s="140">
        <v>0</v>
      </c>
      <c r="AB815" s="139">
        <f t="shared" si="50"/>
        <v>0</v>
      </c>
    </row>
    <row r="816" spans="1:28" x14ac:dyDescent="0.2">
      <c r="A816" s="127" t="str">
        <f>'Scenario List'!$A$19</f>
        <v>17- WA Maximum Customer Benefits</v>
      </c>
      <c r="B816" s="128" t="s">
        <v>86</v>
      </c>
      <c r="D816" s="140">
        <v>0</v>
      </c>
      <c r="E816" s="140">
        <v>0</v>
      </c>
      <c r="F816" s="140">
        <v>0</v>
      </c>
      <c r="G816" s="140">
        <v>0</v>
      </c>
      <c r="H816" s="140">
        <v>0</v>
      </c>
      <c r="I816" s="140">
        <v>0</v>
      </c>
      <c r="J816" s="140">
        <v>0</v>
      </c>
      <c r="K816" s="140">
        <v>0</v>
      </c>
      <c r="L816" s="140">
        <v>0</v>
      </c>
      <c r="M816" s="140">
        <v>0</v>
      </c>
      <c r="N816" s="140">
        <v>0</v>
      </c>
      <c r="O816" s="140">
        <v>0</v>
      </c>
      <c r="P816" s="140">
        <v>0</v>
      </c>
      <c r="Q816" s="140">
        <v>0</v>
      </c>
      <c r="R816" s="140">
        <v>0</v>
      </c>
      <c r="S816" s="140">
        <v>0</v>
      </c>
      <c r="T816" s="140">
        <v>0</v>
      </c>
      <c r="U816" s="140">
        <v>0</v>
      </c>
      <c r="V816" s="140">
        <v>0</v>
      </c>
      <c r="W816" s="140">
        <v>0</v>
      </c>
      <c r="X816" s="140">
        <v>0</v>
      </c>
      <c r="Y816" s="140">
        <v>0</v>
      </c>
      <c r="Z816" s="140">
        <v>0</v>
      </c>
      <c r="AB816" s="139">
        <f t="shared" si="50"/>
        <v>0</v>
      </c>
    </row>
    <row r="817" spans="1:28" x14ac:dyDescent="0.2">
      <c r="A817" s="127" t="str">
        <f>'Scenario List'!$A$19</f>
        <v>17- WA Maximum Customer Benefits</v>
      </c>
      <c r="B817" s="128" t="s">
        <v>87</v>
      </c>
      <c r="D817" s="140">
        <v>0</v>
      </c>
      <c r="E817" s="140">
        <v>0</v>
      </c>
      <c r="F817" s="140">
        <v>0</v>
      </c>
      <c r="G817" s="140">
        <v>0</v>
      </c>
      <c r="H817" s="140">
        <v>0</v>
      </c>
      <c r="I817" s="140">
        <v>0</v>
      </c>
      <c r="J817" s="140">
        <v>0</v>
      </c>
      <c r="K817" s="140">
        <v>0</v>
      </c>
      <c r="L817" s="140">
        <v>0</v>
      </c>
      <c r="M817" s="140">
        <v>0</v>
      </c>
      <c r="N817" s="140">
        <v>0</v>
      </c>
      <c r="O817" s="140">
        <v>0</v>
      </c>
      <c r="P817" s="140">
        <v>0</v>
      </c>
      <c r="Q817" s="140">
        <v>0</v>
      </c>
      <c r="R817" s="140">
        <v>0</v>
      </c>
      <c r="S817" s="140">
        <v>0</v>
      </c>
      <c r="T817" s="140">
        <v>0</v>
      </c>
      <c r="U817" s="140">
        <v>0</v>
      </c>
      <c r="V817" s="140">
        <v>0</v>
      </c>
      <c r="W817" s="140">
        <v>0</v>
      </c>
      <c r="X817" s="140">
        <v>0</v>
      </c>
      <c r="Y817" s="140">
        <v>0</v>
      </c>
      <c r="Z817" s="140">
        <v>0</v>
      </c>
      <c r="AB817" s="139">
        <f t="shared" si="50"/>
        <v>0</v>
      </c>
    </row>
    <row r="818" spans="1:28" x14ac:dyDescent="0.2">
      <c r="A818" s="127" t="str">
        <f>'Scenario List'!$A$19</f>
        <v>17- WA Maximum Customer Benefits</v>
      </c>
      <c r="B818" s="128" t="s">
        <v>17</v>
      </c>
      <c r="D818" s="140">
        <v>0</v>
      </c>
      <c r="E818" s="140">
        <v>0</v>
      </c>
      <c r="F818" s="140">
        <v>0</v>
      </c>
      <c r="G818" s="140">
        <v>0</v>
      </c>
      <c r="H818" s="140">
        <v>0</v>
      </c>
      <c r="I818" s="140">
        <v>0</v>
      </c>
      <c r="J818" s="140">
        <v>0</v>
      </c>
      <c r="K818" s="140">
        <v>0</v>
      </c>
      <c r="L818" s="140">
        <v>0</v>
      </c>
      <c r="M818" s="140">
        <v>0</v>
      </c>
      <c r="N818" s="140">
        <v>0</v>
      </c>
      <c r="O818" s="140">
        <v>0</v>
      </c>
      <c r="P818" s="140">
        <v>0</v>
      </c>
      <c r="Q818" s="140">
        <v>0</v>
      </c>
      <c r="R818" s="140">
        <v>0</v>
      </c>
      <c r="S818" s="140">
        <v>0</v>
      </c>
      <c r="T818" s="140">
        <v>0</v>
      </c>
      <c r="U818" s="140">
        <v>0</v>
      </c>
      <c r="V818" s="140">
        <v>0</v>
      </c>
      <c r="W818" s="140">
        <v>0</v>
      </c>
      <c r="X818" s="140">
        <v>0</v>
      </c>
      <c r="Y818" s="140">
        <v>0</v>
      </c>
      <c r="Z818" s="140">
        <v>0</v>
      </c>
      <c r="AB818" s="139">
        <f t="shared" si="50"/>
        <v>0</v>
      </c>
    </row>
    <row r="819" spans="1:28" x14ac:dyDescent="0.2">
      <c r="A819" s="127" t="str">
        <f>'Scenario List'!$A$19</f>
        <v>17- WA Maximum Customer Benefits</v>
      </c>
      <c r="B819" s="128" t="s">
        <v>18</v>
      </c>
      <c r="D819" s="140">
        <v>0.64855691440984986</v>
      </c>
      <c r="E819" s="140">
        <v>0.80100421052833959</v>
      </c>
      <c r="F819" s="140">
        <v>0.92715462580872177</v>
      </c>
      <c r="G819" s="140">
        <v>1.0813002088131363</v>
      </c>
      <c r="H819" s="140">
        <v>1.1643330292764618</v>
      </c>
      <c r="I819" s="140">
        <v>1.232816426045332</v>
      </c>
      <c r="J819" s="140">
        <v>1.2258085209026097</v>
      </c>
      <c r="K819" s="140">
        <v>1.2039980346577792</v>
      </c>
      <c r="L819" s="140">
        <v>1.3162541798515051</v>
      </c>
      <c r="M819" s="140">
        <v>1.3735814987435813</v>
      </c>
      <c r="N819" s="140">
        <v>1.2982792426910397</v>
      </c>
      <c r="O819" s="140">
        <v>1.3270916685781078</v>
      </c>
      <c r="P819" s="140">
        <v>1.2914016581507486</v>
      </c>
      <c r="Q819" s="140">
        <v>1.3015243498324924</v>
      </c>
      <c r="R819" s="140">
        <v>1.1652997617368328</v>
      </c>
      <c r="S819" s="140">
        <v>1.0397176553904934</v>
      </c>
      <c r="T819" s="140">
        <v>0.99926822391212156</v>
      </c>
      <c r="U819" s="140">
        <v>1.0042217494545689</v>
      </c>
      <c r="V819" s="140">
        <v>0.8655132775235117</v>
      </c>
      <c r="W819" s="140">
        <v>0.91346548828224527</v>
      </c>
      <c r="X819" s="140">
        <v>0.50695754807948745</v>
      </c>
      <c r="Y819" s="140">
        <v>0.5676845146850944</v>
      </c>
      <c r="Z819" s="140">
        <v>0.34674081803348145</v>
      </c>
      <c r="AB819" s="139">
        <f>SUM(C819:Z819)</f>
        <v>23.601973605387542</v>
      </c>
    </row>
    <row r="820" spans="1:28" x14ac:dyDescent="0.2">
      <c r="A820" s="127" t="str">
        <f>'Scenario List'!$A$19</f>
        <v>17- WA Maximum Customer Benefits</v>
      </c>
      <c r="B820" s="128" t="s">
        <v>19</v>
      </c>
      <c r="D820" s="140">
        <v>0.60006236776113531</v>
      </c>
      <c r="E820" s="140">
        <v>0.75882258399967129</v>
      </c>
      <c r="F820" s="140">
        <v>0.89729868381172673</v>
      </c>
      <c r="G820" s="140">
        <v>1.0743436444901096</v>
      </c>
      <c r="H820" s="140">
        <v>1.1787015282661586</v>
      </c>
      <c r="I820" s="140">
        <v>1.2698341505586717</v>
      </c>
      <c r="J820" s="140">
        <v>1.2826171078985116</v>
      </c>
      <c r="K820" s="140">
        <v>1.2782296248848928</v>
      </c>
      <c r="L820" s="140">
        <v>1.4006305710357463</v>
      </c>
      <c r="M820" s="140">
        <v>1.476980042743655</v>
      </c>
      <c r="N820" s="140">
        <v>1.4121991041559436</v>
      </c>
      <c r="O820" s="140">
        <v>1.4405622876692217</v>
      </c>
      <c r="P820" s="140">
        <v>1.389001580479178</v>
      </c>
      <c r="Q820" s="140">
        <v>1.378660455536771</v>
      </c>
      <c r="R820" s="140">
        <v>1.211159651537681</v>
      </c>
      <c r="S820" s="140">
        <v>1.0607380712615608</v>
      </c>
      <c r="T820" s="140">
        <v>1.0179019292028251</v>
      </c>
      <c r="U820" s="140">
        <v>0.99206774912591911</v>
      </c>
      <c r="V820" s="140">
        <v>0.82663563087148617</v>
      </c>
      <c r="W820" s="140">
        <v>0.86115462278622701</v>
      </c>
      <c r="X820" s="140">
        <v>0.49170185416937073</v>
      </c>
      <c r="Y820" s="140">
        <v>0.55628391937256083</v>
      </c>
      <c r="Z820" s="140">
        <v>0.33601313963691481</v>
      </c>
      <c r="AB820" s="139">
        <f t="shared" ref="AB820" si="51">SUM(C820:Z820)</f>
        <v>24.191600301255939</v>
      </c>
    </row>
    <row r="821" spans="1:28" x14ac:dyDescent="0.2">
      <c r="A821" s="127" t="str">
        <f>'Scenario List'!$A$19</f>
        <v>17- WA Maximum Customer Benefits</v>
      </c>
      <c r="B821" s="128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  <c r="AB821" s="139"/>
    </row>
    <row r="822" spans="1:28" x14ac:dyDescent="0.2">
      <c r="A822" s="127" t="str">
        <f>'Scenario List'!$A$19</f>
        <v>17- WA Maximum Customer Benefits</v>
      </c>
      <c r="B822" s="131" t="s">
        <v>31</v>
      </c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  <c r="AB822" s="139"/>
    </row>
    <row r="823" spans="1:28" x14ac:dyDescent="0.2">
      <c r="A823" s="127" t="str">
        <f>'Scenario List'!$A$19</f>
        <v>17- WA Maximum Customer Benefits</v>
      </c>
      <c r="B823" s="128" t="s">
        <v>1</v>
      </c>
      <c r="D823" s="140">
        <v>21.631336969228098</v>
      </c>
      <c r="E823" s="140">
        <v>47.009902921367527</v>
      </c>
      <c r="F823" s="140">
        <v>75.994280076748538</v>
      </c>
      <c r="G823" s="140">
        <v>107.14104128771098</v>
      </c>
      <c r="H823" s="140">
        <v>141.17116289743487</v>
      </c>
      <c r="I823" s="140">
        <v>178.18126268200945</v>
      </c>
      <c r="J823" s="140">
        <v>217.0179584443251</v>
      </c>
      <c r="K823" s="140">
        <v>254.88885370459212</v>
      </c>
      <c r="L823" s="140">
        <v>292.80227889501373</v>
      </c>
      <c r="M823" s="140">
        <v>328.98633488461576</v>
      </c>
      <c r="N823" s="140">
        <v>361.47684528470649</v>
      </c>
      <c r="O823" s="140">
        <v>390.54030099699622</v>
      </c>
      <c r="P823" s="140">
        <v>416.41794836494745</v>
      </c>
      <c r="Q823" s="140">
        <v>439.55000557561164</v>
      </c>
      <c r="R823" s="140">
        <v>460.34378743711812</v>
      </c>
      <c r="S823" s="140">
        <v>476.92654144597839</v>
      </c>
      <c r="T823" s="140">
        <v>491.95038116992509</v>
      </c>
      <c r="U823" s="140">
        <v>505.23596725208893</v>
      </c>
      <c r="V823" s="140">
        <v>517.74650112371364</v>
      </c>
      <c r="W823" s="140">
        <v>529.5331439945611</v>
      </c>
      <c r="X823" s="140">
        <v>536.25608931587817</v>
      </c>
      <c r="Y823" s="140">
        <v>542.93891133353668</v>
      </c>
      <c r="Z823" s="140">
        <v>548.13142222737997</v>
      </c>
      <c r="AB823" s="139">
        <f>Z823/8.76</f>
        <v>62.572080162942918</v>
      </c>
    </row>
    <row r="824" spans="1:28" x14ac:dyDescent="0.2">
      <c r="A824" s="127" t="str">
        <f>'Scenario List'!$A$19</f>
        <v>17- WA Maximum Customer Benefits</v>
      </c>
      <c r="B824" s="128" t="s">
        <v>2</v>
      </c>
      <c r="D824" s="140">
        <v>7.7918726359241095</v>
      </c>
      <c r="E824" s="140">
        <v>16.895608109175285</v>
      </c>
      <c r="F824" s="140">
        <v>27.274958403390528</v>
      </c>
      <c r="G824" s="140">
        <v>38.36496136576951</v>
      </c>
      <c r="H824" s="140">
        <v>50.386199218335435</v>
      </c>
      <c r="I824" s="140">
        <v>63.207890675676943</v>
      </c>
      <c r="J824" s="140">
        <v>76.435348795685826</v>
      </c>
      <c r="K824" s="140">
        <v>89.246119642220293</v>
      </c>
      <c r="L824" s="140">
        <v>102.2188373576997</v>
      </c>
      <c r="M824" s="140">
        <v>114.82657598005159</v>
      </c>
      <c r="N824" s="140">
        <v>125.63259599085805</v>
      </c>
      <c r="O824" s="140">
        <v>135.57911674177967</v>
      </c>
      <c r="P824" s="140">
        <v>144.74802695792002</v>
      </c>
      <c r="Q824" s="140">
        <v>153.25855243688613</v>
      </c>
      <c r="R824" s="140">
        <v>161.15777589083842</v>
      </c>
      <c r="S824" s="140">
        <v>167.61640071372165</v>
      </c>
      <c r="T824" s="140">
        <v>173.61471951120146</v>
      </c>
      <c r="U824" s="140">
        <v>179.01719657411394</v>
      </c>
      <c r="V824" s="140">
        <v>184.10373969562463</v>
      </c>
      <c r="W824" s="140">
        <v>188.96429418032761</v>
      </c>
      <c r="X824" s="140">
        <v>191.3742792996434</v>
      </c>
      <c r="Y824" s="140">
        <v>193.72534427233231</v>
      </c>
      <c r="Z824" s="140">
        <v>195.65396118426281</v>
      </c>
      <c r="AB824" s="139">
        <f>Z824/8.76</f>
        <v>22.334927075829089</v>
      </c>
    </row>
    <row r="825" spans="1:28" x14ac:dyDescent="0.2">
      <c r="A825" s="127" t="str">
        <f>'Scenario List'!$A$19</f>
        <v>17- WA Maximum Customer Benefits</v>
      </c>
      <c r="B825" s="128" t="s">
        <v>4</v>
      </c>
      <c r="D825" s="140">
        <v>29.423209605152209</v>
      </c>
      <c r="E825" s="140">
        <v>63.905511030542812</v>
      </c>
      <c r="F825" s="140">
        <v>103.26923848013907</v>
      </c>
      <c r="G825" s="140">
        <v>145.50600265348049</v>
      </c>
      <c r="H825" s="140">
        <v>191.5573621157703</v>
      </c>
      <c r="I825" s="140">
        <v>241.38915335768638</v>
      </c>
      <c r="J825" s="140">
        <v>293.45330724001093</v>
      </c>
      <c r="K825" s="140">
        <v>344.13497334681244</v>
      </c>
      <c r="L825" s="140">
        <v>395.02111625271345</v>
      </c>
      <c r="M825" s="140">
        <v>443.81291086466734</v>
      </c>
      <c r="N825" s="140">
        <v>487.10944127556456</v>
      </c>
      <c r="O825" s="140">
        <v>526.11941773877584</v>
      </c>
      <c r="P825" s="140">
        <v>561.16597532286744</v>
      </c>
      <c r="Q825" s="140">
        <v>592.80855801249777</v>
      </c>
      <c r="R825" s="140">
        <v>621.50156332795655</v>
      </c>
      <c r="S825" s="140">
        <v>644.54294215970003</v>
      </c>
      <c r="T825" s="140">
        <v>665.56510068112652</v>
      </c>
      <c r="U825" s="140">
        <v>684.25316382620281</v>
      </c>
      <c r="V825" s="140">
        <v>701.8502408193383</v>
      </c>
      <c r="W825" s="140">
        <v>718.49743817488866</v>
      </c>
      <c r="X825" s="140">
        <v>727.63036861552155</v>
      </c>
      <c r="Y825" s="140">
        <v>736.66425560586902</v>
      </c>
      <c r="Z825" s="140">
        <v>743.78538341164278</v>
      </c>
      <c r="AB825" s="139">
        <f>Z825/8.76</f>
        <v>84.90700723877201</v>
      </c>
    </row>
    <row r="826" spans="1:28" x14ac:dyDescent="0.2">
      <c r="A826" s="127" t="str">
        <f>'Scenario List'!$A$19</f>
        <v>17- WA Maximum Customer Benefits</v>
      </c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  <c r="AB826" s="139"/>
    </row>
    <row r="827" spans="1:28" x14ac:dyDescent="0.2">
      <c r="A827" s="127" t="str">
        <f>'Scenario List'!$A$19</f>
        <v>17- WA Maximum Customer Benefits</v>
      </c>
      <c r="B827" s="141" t="s">
        <v>32</v>
      </c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  <c r="AB827" s="139"/>
    </row>
    <row r="828" spans="1:28" x14ac:dyDescent="0.2">
      <c r="A828" s="127" t="str">
        <f>'Scenario List'!$A$19</f>
        <v>17- WA Maximum Customer Benefits</v>
      </c>
      <c r="B828" s="128" t="s">
        <v>1</v>
      </c>
      <c r="D828" s="140">
        <v>2.6033804335616888</v>
      </c>
      <c r="E828" s="140">
        <v>5.6598012907585407</v>
      </c>
      <c r="F828" s="140">
        <v>9.1472080665539384</v>
      </c>
      <c r="G828" s="140">
        <v>12.897401609131871</v>
      </c>
      <c r="H828" s="140">
        <v>16.995151724492526</v>
      </c>
      <c r="I828" s="140">
        <v>21.458946010081309</v>
      </c>
      <c r="J828" s="140">
        <v>26.129815521350078</v>
      </c>
      <c r="K828" s="140">
        <v>30.691778736691411</v>
      </c>
      <c r="L828" s="140">
        <v>35.260030573141975</v>
      </c>
      <c r="M828" s="140">
        <v>39.633761478602615</v>
      </c>
      <c r="N828" s="140">
        <v>43.5376857932904</v>
      </c>
      <c r="O828" s="140">
        <v>47.042490965190737</v>
      </c>
      <c r="P828" s="140">
        <v>50.164251350955361</v>
      </c>
      <c r="Q828" s="140">
        <v>52.973755280700452</v>
      </c>
      <c r="R828" s="140">
        <v>55.466524117109898</v>
      </c>
      <c r="S828" s="140">
        <v>57.470325968662792</v>
      </c>
      <c r="T828" s="140">
        <v>59.28681792985364</v>
      </c>
      <c r="U828" s="140">
        <v>60.915680614437456</v>
      </c>
      <c r="V828" s="140">
        <v>62.409080407978237</v>
      </c>
      <c r="W828" s="140">
        <v>63.83709414312429</v>
      </c>
      <c r="X828" s="140">
        <v>64.655186978106613</v>
      </c>
      <c r="Y828" s="140">
        <v>65.492892315749458</v>
      </c>
      <c r="Z828" s="140">
        <v>66.103580837295979</v>
      </c>
      <c r="AB828" s="139">
        <f>Z828</f>
        <v>66.103580837295979</v>
      </c>
    </row>
    <row r="829" spans="1:28" x14ac:dyDescent="0.2">
      <c r="A829" s="127" t="str">
        <f>'Scenario List'!$A$19</f>
        <v>17- WA Maximum Customer Benefits</v>
      </c>
      <c r="B829" s="128" t="s">
        <v>2</v>
      </c>
      <c r="D829" s="140">
        <v>0.93776953269354169</v>
      </c>
      <c r="E829" s="140">
        <v>2.0341625623948212</v>
      </c>
      <c r="F829" s="140">
        <v>3.2830065535254898</v>
      </c>
      <c r="G829" s="140">
        <v>4.6182892055755289</v>
      </c>
      <c r="H829" s="140">
        <v>6.065835847497131</v>
      </c>
      <c r="I829" s="140">
        <v>7.6123307973247591</v>
      </c>
      <c r="J829" s="140">
        <v>9.2031165423284591</v>
      </c>
      <c r="K829" s="140">
        <v>10.746339501929997</v>
      </c>
      <c r="L829" s="140">
        <v>12.309464748653284</v>
      </c>
      <c r="M829" s="140">
        <v>13.833429055325851</v>
      </c>
      <c r="N829" s="140">
        <v>15.131681492177695</v>
      </c>
      <c r="O829" s="140">
        <v>16.331168276645453</v>
      </c>
      <c r="P829" s="140">
        <v>17.437232077490304</v>
      </c>
      <c r="Q829" s="140">
        <v>18.470437830695069</v>
      </c>
      <c r="R829" s="140">
        <v>19.417795801860386</v>
      </c>
      <c r="S829" s="140">
        <v>20.198014473058457</v>
      </c>
      <c r="T829" s="140">
        <v>20.922972437026878</v>
      </c>
      <c r="U829" s="140">
        <v>21.583883725284416</v>
      </c>
      <c r="V829" s="140">
        <v>22.191835327011319</v>
      </c>
      <c r="W829" s="140">
        <v>22.780314271324457</v>
      </c>
      <c r="X829" s="140">
        <v>23.073565144414438</v>
      </c>
      <c r="Y829" s="140">
        <v>23.368435833962764</v>
      </c>
      <c r="Z829" s="140">
        <v>23.595486255330837</v>
      </c>
      <c r="AB829" s="139">
        <f>Z829</f>
        <v>23.595486255330837</v>
      </c>
    </row>
    <row r="830" spans="1:28" x14ac:dyDescent="0.2">
      <c r="A830" s="127" t="str">
        <f>'Scenario List'!$A$19</f>
        <v>17- WA Maximum Customer Benefits</v>
      </c>
      <c r="B830" s="128" t="s">
        <v>4</v>
      </c>
      <c r="D830" s="140">
        <v>3.5411499662552304</v>
      </c>
      <c r="E830" s="140">
        <v>7.6939638531533614</v>
      </c>
      <c r="F830" s="140">
        <v>12.430214620079429</v>
      </c>
      <c r="G830" s="140">
        <v>17.515690814707398</v>
      </c>
      <c r="H830" s="140">
        <v>23.060987571989656</v>
      </c>
      <c r="I830" s="140">
        <v>29.071276807406068</v>
      </c>
      <c r="J830" s="140">
        <v>35.332932063678541</v>
      </c>
      <c r="K830" s="140">
        <v>41.438118238621406</v>
      </c>
      <c r="L830" s="140">
        <v>47.569495321795259</v>
      </c>
      <c r="M830" s="140">
        <v>53.467190533928466</v>
      </c>
      <c r="N830" s="140">
        <v>58.669367285468098</v>
      </c>
      <c r="O830" s="140">
        <v>63.373659241836194</v>
      </c>
      <c r="P830" s="140">
        <v>67.601483428445661</v>
      </c>
      <c r="Q830" s="140">
        <v>71.444193111395521</v>
      </c>
      <c r="R830" s="140">
        <v>74.884319918970277</v>
      </c>
      <c r="S830" s="140">
        <v>77.668340441721256</v>
      </c>
      <c r="T830" s="140">
        <v>80.209790366880526</v>
      </c>
      <c r="U830" s="140">
        <v>82.499564339721871</v>
      </c>
      <c r="V830" s="140">
        <v>84.600915734989556</v>
      </c>
      <c r="W830" s="140">
        <v>86.617408414448747</v>
      </c>
      <c r="X830" s="140">
        <v>87.728752122521058</v>
      </c>
      <c r="Y830" s="140">
        <v>88.861328149712222</v>
      </c>
      <c r="Z830" s="140">
        <v>89.699067092626819</v>
      </c>
      <c r="AB830" s="139">
        <f>Z830</f>
        <v>89.699067092626819</v>
      </c>
    </row>
    <row r="833" spans="1:28" x14ac:dyDescent="0.2">
      <c r="A833" s="127" t="str">
        <f>'Scenario List'!$A$20</f>
        <v>18- National GHG Pricing</v>
      </c>
      <c r="B833" s="131" t="s">
        <v>11</v>
      </c>
    </row>
    <row r="834" spans="1:28" x14ac:dyDescent="0.2">
      <c r="A834" s="127" t="str">
        <f>'Scenario List'!$A$20</f>
        <v>18- National GHG Pricing</v>
      </c>
      <c r="B834" s="128" t="s">
        <v>12</v>
      </c>
      <c r="D834" s="140">
        <v>0</v>
      </c>
      <c r="E834" s="140">
        <v>0</v>
      </c>
      <c r="F834" s="140">
        <v>0</v>
      </c>
      <c r="G834" s="140">
        <v>0</v>
      </c>
      <c r="H834" s="140">
        <v>0</v>
      </c>
      <c r="I834" s="140">
        <v>0</v>
      </c>
      <c r="J834" s="140">
        <v>0</v>
      </c>
      <c r="K834" s="140">
        <v>0</v>
      </c>
      <c r="L834" s="140">
        <v>0</v>
      </c>
      <c r="M834" s="140">
        <v>0</v>
      </c>
      <c r="N834" s="140">
        <v>0</v>
      </c>
      <c r="O834" s="140">
        <v>0</v>
      </c>
      <c r="P834" s="140">
        <v>0</v>
      </c>
      <c r="Q834" s="140">
        <v>0</v>
      </c>
      <c r="R834" s="140">
        <v>0</v>
      </c>
      <c r="S834" s="140">
        <v>0</v>
      </c>
      <c r="T834" s="140">
        <v>0</v>
      </c>
      <c r="U834" s="140">
        <v>0</v>
      </c>
      <c r="V834" s="140">
        <v>0</v>
      </c>
      <c r="W834" s="140">
        <v>0</v>
      </c>
      <c r="X834" s="140">
        <v>0</v>
      </c>
      <c r="Y834" s="140">
        <v>0</v>
      </c>
      <c r="Z834" s="140">
        <v>0</v>
      </c>
      <c r="AB834" s="139">
        <f>SUM(C834:Z834)</f>
        <v>0</v>
      </c>
    </row>
    <row r="835" spans="1:28" x14ac:dyDescent="0.2">
      <c r="A835" s="127" t="str">
        <f>'Scenario List'!$A$20</f>
        <v>18- National GHG Pricing</v>
      </c>
      <c r="B835" s="128" t="s">
        <v>13</v>
      </c>
      <c r="D835" s="140">
        <v>0</v>
      </c>
      <c r="E835" s="140">
        <v>0</v>
      </c>
      <c r="F835" s="140">
        <v>0</v>
      </c>
      <c r="G835" s="140">
        <v>0</v>
      </c>
      <c r="H835" s="140">
        <v>0</v>
      </c>
      <c r="I835" s="140">
        <v>0</v>
      </c>
      <c r="J835" s="140">
        <v>0</v>
      </c>
      <c r="K835" s="140">
        <v>0</v>
      </c>
      <c r="L835" s="140">
        <v>0</v>
      </c>
      <c r="M835" s="140">
        <v>0</v>
      </c>
      <c r="N835" s="140">
        <v>0</v>
      </c>
      <c r="O835" s="140">
        <v>0</v>
      </c>
      <c r="P835" s="140">
        <v>0</v>
      </c>
      <c r="Q835" s="140">
        <v>0</v>
      </c>
      <c r="R835" s="140">
        <v>0</v>
      </c>
      <c r="S835" s="140">
        <v>0</v>
      </c>
      <c r="T835" s="140">
        <v>0</v>
      </c>
      <c r="U835" s="140">
        <v>0</v>
      </c>
      <c r="V835" s="140">
        <v>0</v>
      </c>
      <c r="W835" s="140">
        <v>0</v>
      </c>
      <c r="X835" s="140">
        <v>0</v>
      </c>
      <c r="Y835" s="140">
        <v>0</v>
      </c>
      <c r="Z835" s="140">
        <v>0</v>
      </c>
      <c r="AB835" s="139">
        <f t="shared" ref="AB835:AB842" si="52">SUM(C835:Z835)</f>
        <v>0</v>
      </c>
    </row>
    <row r="836" spans="1:28" x14ac:dyDescent="0.2">
      <c r="A836" s="127" t="str">
        <f>'Scenario List'!$A$20</f>
        <v>18- National GHG Pricing</v>
      </c>
      <c r="B836" s="128" t="s">
        <v>14</v>
      </c>
      <c r="D836" s="140">
        <v>0</v>
      </c>
      <c r="E836" s="140">
        <v>0</v>
      </c>
      <c r="F836" s="140">
        <v>0</v>
      </c>
      <c r="G836" s="140">
        <v>0</v>
      </c>
      <c r="H836" s="140">
        <v>0</v>
      </c>
      <c r="I836" s="140">
        <v>0</v>
      </c>
      <c r="J836" s="140">
        <v>0</v>
      </c>
      <c r="K836" s="140">
        <v>0</v>
      </c>
      <c r="L836" s="140">
        <v>0</v>
      </c>
      <c r="M836" s="140">
        <v>0</v>
      </c>
      <c r="N836" s="140">
        <v>0</v>
      </c>
      <c r="O836" s="140">
        <v>0</v>
      </c>
      <c r="P836" s="140">
        <v>0</v>
      </c>
      <c r="Q836" s="140">
        <v>0</v>
      </c>
      <c r="R836" s="140">
        <v>0</v>
      </c>
      <c r="S836" s="140">
        <v>0</v>
      </c>
      <c r="T836" s="140">
        <v>0</v>
      </c>
      <c r="U836" s="140">
        <v>0</v>
      </c>
      <c r="V836" s="140">
        <v>0</v>
      </c>
      <c r="W836" s="140">
        <v>0</v>
      </c>
      <c r="X836" s="140">
        <v>0</v>
      </c>
      <c r="Y836" s="140">
        <v>0</v>
      </c>
      <c r="Z836" s="140">
        <v>0</v>
      </c>
      <c r="AB836" s="139">
        <f t="shared" si="52"/>
        <v>0</v>
      </c>
    </row>
    <row r="837" spans="1:28" x14ac:dyDescent="0.2">
      <c r="A837" s="127" t="str">
        <f>'Scenario List'!$A$20</f>
        <v>18- National GHG Pricing</v>
      </c>
      <c r="B837" s="128" t="s">
        <v>15</v>
      </c>
      <c r="D837" s="140">
        <v>0</v>
      </c>
      <c r="E837" s="140">
        <v>0</v>
      </c>
      <c r="F837" s="140">
        <v>0</v>
      </c>
      <c r="G837" s="140">
        <v>0</v>
      </c>
      <c r="H837" s="140">
        <v>0</v>
      </c>
      <c r="I837" s="140">
        <v>0</v>
      </c>
      <c r="J837" s="140">
        <v>0</v>
      </c>
      <c r="K837" s="140">
        <v>0</v>
      </c>
      <c r="L837" s="140">
        <v>0</v>
      </c>
      <c r="M837" s="140">
        <v>0</v>
      </c>
      <c r="N837" s="140">
        <v>0</v>
      </c>
      <c r="O837" s="140">
        <v>0</v>
      </c>
      <c r="P837" s="140">
        <v>0</v>
      </c>
      <c r="Q837" s="140">
        <v>0</v>
      </c>
      <c r="R837" s="140">
        <v>0</v>
      </c>
      <c r="S837" s="140">
        <v>0</v>
      </c>
      <c r="T837" s="140">
        <v>0</v>
      </c>
      <c r="U837" s="140">
        <v>0</v>
      </c>
      <c r="V837" s="140">
        <v>0</v>
      </c>
      <c r="W837" s="140">
        <v>0</v>
      </c>
      <c r="X837" s="140">
        <v>0</v>
      </c>
      <c r="Y837" s="140">
        <v>0</v>
      </c>
      <c r="Z837" s="140">
        <v>0</v>
      </c>
      <c r="AB837" s="139">
        <f t="shared" si="52"/>
        <v>0</v>
      </c>
    </row>
    <row r="838" spans="1:28" x14ac:dyDescent="0.2">
      <c r="A838" s="127" t="str">
        <f>'Scenario List'!$A$20</f>
        <v>18- National GHG Pricing</v>
      </c>
      <c r="B838" s="128" t="s">
        <v>16</v>
      </c>
      <c r="D838" s="140">
        <v>0</v>
      </c>
      <c r="E838" s="140">
        <v>0</v>
      </c>
      <c r="F838" s="140">
        <v>0</v>
      </c>
      <c r="G838" s="140">
        <v>0</v>
      </c>
      <c r="H838" s="140">
        <v>0</v>
      </c>
      <c r="I838" s="140">
        <v>0</v>
      </c>
      <c r="J838" s="140">
        <v>0</v>
      </c>
      <c r="K838" s="140">
        <v>0</v>
      </c>
      <c r="L838" s="140">
        <v>0</v>
      </c>
      <c r="M838" s="140">
        <v>0</v>
      </c>
      <c r="N838" s="140">
        <v>0</v>
      </c>
      <c r="O838" s="140">
        <v>0</v>
      </c>
      <c r="P838" s="140">
        <v>0</v>
      </c>
      <c r="Q838" s="140">
        <v>0</v>
      </c>
      <c r="R838" s="140">
        <v>0</v>
      </c>
      <c r="S838" s="140">
        <v>0</v>
      </c>
      <c r="T838" s="140">
        <v>0</v>
      </c>
      <c r="U838" s="140">
        <v>0</v>
      </c>
      <c r="V838" s="140">
        <v>56.411785563960038</v>
      </c>
      <c r="W838" s="140">
        <v>0</v>
      </c>
      <c r="X838" s="140">
        <v>57.876342980679887</v>
      </c>
      <c r="Y838" s="140">
        <v>50</v>
      </c>
      <c r="Z838" s="140">
        <v>0</v>
      </c>
      <c r="AB838" s="139">
        <f t="shared" si="52"/>
        <v>164.28812854463993</v>
      </c>
    </row>
    <row r="839" spans="1:28" x14ac:dyDescent="0.2">
      <c r="A839" s="127" t="str">
        <f>'Scenario List'!$A$20</f>
        <v>18- National GHG Pricing</v>
      </c>
      <c r="B839" s="128" t="s">
        <v>85</v>
      </c>
      <c r="D839" s="140">
        <v>0</v>
      </c>
      <c r="E839" s="140">
        <v>0</v>
      </c>
      <c r="F839" s="140">
        <v>0</v>
      </c>
      <c r="G839" s="140">
        <v>0</v>
      </c>
      <c r="H839" s="140">
        <v>0</v>
      </c>
      <c r="I839" s="140">
        <v>0</v>
      </c>
      <c r="J839" s="140">
        <v>0</v>
      </c>
      <c r="K839" s="140">
        <v>0</v>
      </c>
      <c r="L839" s="140">
        <v>0</v>
      </c>
      <c r="M839" s="140">
        <v>0</v>
      </c>
      <c r="N839" s="140">
        <v>0</v>
      </c>
      <c r="O839" s="140">
        <v>0</v>
      </c>
      <c r="P839" s="140">
        <v>0</v>
      </c>
      <c r="Q839" s="140">
        <v>0</v>
      </c>
      <c r="R839" s="140">
        <v>0</v>
      </c>
      <c r="S839" s="140">
        <v>0</v>
      </c>
      <c r="T839" s="140">
        <v>0</v>
      </c>
      <c r="U839" s="140">
        <v>0</v>
      </c>
      <c r="V839" s="140">
        <v>0</v>
      </c>
      <c r="W839" s="140">
        <v>0</v>
      </c>
      <c r="X839" s="140">
        <v>0</v>
      </c>
      <c r="Y839" s="140">
        <v>0</v>
      </c>
      <c r="Z839" s="140">
        <v>0</v>
      </c>
      <c r="AB839" s="139">
        <f t="shared" si="52"/>
        <v>0</v>
      </c>
    </row>
    <row r="840" spans="1:28" x14ac:dyDescent="0.2">
      <c r="A840" s="127" t="str">
        <f>'Scenario List'!$A$20</f>
        <v>18- National GHG Pricing</v>
      </c>
      <c r="B840" s="128" t="s">
        <v>86</v>
      </c>
      <c r="D840" s="140">
        <v>0</v>
      </c>
      <c r="E840" s="140">
        <v>0</v>
      </c>
      <c r="F840" s="140">
        <v>0</v>
      </c>
      <c r="G840" s="140">
        <v>0</v>
      </c>
      <c r="H840" s="140">
        <v>0</v>
      </c>
      <c r="I840" s="140">
        <v>0</v>
      </c>
      <c r="J840" s="140">
        <v>0</v>
      </c>
      <c r="K840" s="140">
        <v>0</v>
      </c>
      <c r="L840" s="140">
        <v>0</v>
      </c>
      <c r="M840" s="140">
        <v>0</v>
      </c>
      <c r="N840" s="140">
        <v>0</v>
      </c>
      <c r="O840" s="140">
        <v>0</v>
      </c>
      <c r="P840" s="140">
        <v>0</v>
      </c>
      <c r="Q840" s="140">
        <v>0</v>
      </c>
      <c r="R840" s="140">
        <v>0</v>
      </c>
      <c r="S840" s="140">
        <v>0</v>
      </c>
      <c r="T840" s="140">
        <v>0</v>
      </c>
      <c r="U840" s="140">
        <v>0</v>
      </c>
      <c r="V840" s="140">
        <v>0</v>
      </c>
      <c r="W840" s="140">
        <v>0</v>
      </c>
      <c r="X840" s="140">
        <v>0</v>
      </c>
      <c r="Y840" s="140">
        <v>0</v>
      </c>
      <c r="Z840" s="140">
        <v>0</v>
      </c>
      <c r="AB840" s="139">
        <f t="shared" si="52"/>
        <v>0</v>
      </c>
    </row>
    <row r="841" spans="1:28" x14ac:dyDescent="0.2">
      <c r="A841" s="127" t="str">
        <f>'Scenario List'!$A$20</f>
        <v>18- National GHG Pricing</v>
      </c>
      <c r="B841" s="128" t="s">
        <v>87</v>
      </c>
      <c r="D841" s="140">
        <v>0</v>
      </c>
      <c r="E841" s="140">
        <v>0</v>
      </c>
      <c r="F841" s="140">
        <v>0</v>
      </c>
      <c r="G841" s="140">
        <v>0</v>
      </c>
      <c r="H841" s="140">
        <v>0</v>
      </c>
      <c r="I841" s="140">
        <v>0</v>
      </c>
      <c r="J841" s="140">
        <v>0</v>
      </c>
      <c r="K841" s="140">
        <v>0</v>
      </c>
      <c r="L841" s="140">
        <v>0</v>
      </c>
      <c r="M841" s="140">
        <v>0</v>
      </c>
      <c r="N841" s="140">
        <v>0</v>
      </c>
      <c r="O841" s="140">
        <v>0</v>
      </c>
      <c r="P841" s="140">
        <v>5</v>
      </c>
      <c r="Q841" s="140">
        <v>0</v>
      </c>
      <c r="R841" s="140">
        <v>0</v>
      </c>
      <c r="S841" s="140">
        <v>0</v>
      </c>
      <c r="T841" s="140">
        <v>0</v>
      </c>
      <c r="U841" s="140">
        <v>0</v>
      </c>
      <c r="V841" s="140">
        <v>0</v>
      </c>
      <c r="W841" s="140">
        <v>0</v>
      </c>
      <c r="X841" s="140">
        <v>0</v>
      </c>
      <c r="Y841" s="140">
        <v>0</v>
      </c>
      <c r="Z841" s="140">
        <v>0</v>
      </c>
      <c r="AB841" s="139">
        <f t="shared" si="52"/>
        <v>5</v>
      </c>
    </row>
    <row r="842" spans="1:28" x14ac:dyDescent="0.2">
      <c r="A842" s="127" t="str">
        <f>'Scenario List'!$A$20</f>
        <v>18- National GHG Pricing</v>
      </c>
      <c r="B842" s="128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  <c r="AB842" s="139">
        <f t="shared" si="52"/>
        <v>0</v>
      </c>
    </row>
    <row r="843" spans="1:28" x14ac:dyDescent="0.2">
      <c r="A843" s="127" t="str">
        <f>'Scenario List'!$A$20</f>
        <v>18- National GHG Pricing</v>
      </c>
      <c r="B843" s="128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  <c r="AB843" s="139"/>
    </row>
    <row r="844" spans="1:28" x14ac:dyDescent="0.2">
      <c r="A844" s="127" t="str">
        <f>'Scenario List'!$A$20</f>
        <v>18- National GHG Pricing</v>
      </c>
      <c r="B844" s="128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  <c r="AB844" s="139"/>
    </row>
    <row r="845" spans="1:28" x14ac:dyDescent="0.2">
      <c r="A845" s="127" t="str">
        <f>'Scenario List'!$A$20</f>
        <v>18- National GHG Pricing</v>
      </c>
      <c r="B845" s="131" t="s">
        <v>9</v>
      </c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  <c r="AB845" s="139"/>
    </row>
    <row r="846" spans="1:28" x14ac:dyDescent="0.2">
      <c r="A846" s="127" t="str">
        <f>'Scenario List'!$A$20</f>
        <v>18- National GHG Pricing</v>
      </c>
      <c r="B846" s="128" t="s">
        <v>12</v>
      </c>
      <c r="D846" s="140">
        <v>0</v>
      </c>
      <c r="E846" s="140">
        <v>0</v>
      </c>
      <c r="F846" s="140">
        <v>0</v>
      </c>
      <c r="G846" s="140">
        <v>0</v>
      </c>
      <c r="H846" s="140">
        <v>0</v>
      </c>
      <c r="I846" s="140">
        <v>0</v>
      </c>
      <c r="J846" s="140">
        <v>0</v>
      </c>
      <c r="K846" s="140">
        <v>0</v>
      </c>
      <c r="L846" s="140">
        <v>0</v>
      </c>
      <c r="M846" s="140">
        <v>0</v>
      </c>
      <c r="N846" s="140">
        <v>0</v>
      </c>
      <c r="O846" s="140">
        <v>0</v>
      </c>
      <c r="P846" s="140">
        <v>0</v>
      </c>
      <c r="Q846" s="140">
        <v>0</v>
      </c>
      <c r="R846" s="140">
        <v>0</v>
      </c>
      <c r="S846" s="140">
        <v>0</v>
      </c>
      <c r="T846" s="140">
        <v>0</v>
      </c>
      <c r="U846" s="140">
        <v>0</v>
      </c>
      <c r="V846" s="140">
        <v>0</v>
      </c>
      <c r="W846" s="140">
        <v>0</v>
      </c>
      <c r="X846" s="140">
        <v>0</v>
      </c>
      <c r="Y846" s="140">
        <v>0</v>
      </c>
      <c r="Z846" s="140">
        <v>0</v>
      </c>
      <c r="AB846" s="139">
        <f t="shared" ref="AB846:AB856" si="53">SUM(C846:Z846)</f>
        <v>0</v>
      </c>
    </row>
    <row r="847" spans="1:28" x14ac:dyDescent="0.2">
      <c r="A847" s="127" t="str">
        <f>'Scenario List'!$A$20</f>
        <v>18- National GHG Pricing</v>
      </c>
      <c r="B847" s="128" t="s">
        <v>13</v>
      </c>
      <c r="D847" s="140">
        <v>0</v>
      </c>
      <c r="E847" s="140">
        <v>0.66473348291362344</v>
      </c>
      <c r="F847" s="140">
        <v>0.68964227723279592</v>
      </c>
      <c r="G847" s="140">
        <v>0.71589898207405445</v>
      </c>
      <c r="H847" s="140">
        <v>0.74474658163446983</v>
      </c>
      <c r="I847" s="140">
        <v>0.77630089828909576</v>
      </c>
      <c r="J847" s="140">
        <v>0.80410589762092999</v>
      </c>
      <c r="K847" s="140">
        <v>0.83083714578533907</v>
      </c>
      <c r="L847" s="140">
        <v>0.86470310660027006</v>
      </c>
      <c r="M847" s="140">
        <v>0.43810819750597574</v>
      </c>
      <c r="N847" s="140">
        <v>0.92763410174976402</v>
      </c>
      <c r="O847" s="140">
        <v>0.24936338414415038</v>
      </c>
      <c r="P847" s="140">
        <v>0.23578994323207347</v>
      </c>
      <c r="Q847" s="140">
        <v>0.20310502839290898</v>
      </c>
      <c r="R847" s="140">
        <v>0.26338779948066704</v>
      </c>
      <c r="S847" s="140">
        <v>0.27662044046587086</v>
      </c>
      <c r="T847" s="140">
        <v>0</v>
      </c>
      <c r="U847" s="140">
        <v>0.30197167793966334</v>
      </c>
      <c r="V847" s="140">
        <v>0.20764600402669334</v>
      </c>
      <c r="W847" s="140">
        <v>0</v>
      </c>
      <c r="X847" s="140">
        <v>0</v>
      </c>
      <c r="Y847" s="140">
        <v>0.37383740545422078</v>
      </c>
      <c r="Z847" s="140">
        <v>0.40587490560913669</v>
      </c>
      <c r="AB847" s="139">
        <f t="shared" si="53"/>
        <v>9.9743072601517042</v>
      </c>
    </row>
    <row r="848" spans="1:28" x14ac:dyDescent="0.2">
      <c r="A848" s="127" t="str">
        <f>'Scenario List'!$A$20</f>
        <v>18- National GHG Pricing</v>
      </c>
      <c r="B848" s="128" t="s">
        <v>14</v>
      </c>
      <c r="D848" s="140">
        <v>0</v>
      </c>
      <c r="E848" s="140">
        <v>0</v>
      </c>
      <c r="F848" s="140">
        <v>0</v>
      </c>
      <c r="G848" s="140">
        <v>0</v>
      </c>
      <c r="H848" s="140">
        <v>0</v>
      </c>
      <c r="I848" s="140">
        <v>0</v>
      </c>
      <c r="J848" s="140">
        <v>0</v>
      </c>
      <c r="K848" s="140">
        <v>0</v>
      </c>
      <c r="L848" s="140">
        <v>0</v>
      </c>
      <c r="M848" s="140">
        <v>0</v>
      </c>
      <c r="N848" s="140">
        <v>0</v>
      </c>
      <c r="O848" s="140">
        <v>0</v>
      </c>
      <c r="P848" s="140">
        <v>0</v>
      </c>
      <c r="Q848" s="140">
        <v>0</v>
      </c>
      <c r="R848" s="140">
        <v>0</v>
      </c>
      <c r="S848" s="140">
        <v>0</v>
      </c>
      <c r="T848" s="140">
        <v>0</v>
      </c>
      <c r="U848" s="140">
        <v>0</v>
      </c>
      <c r="V848" s="140">
        <v>0.10382300201334667</v>
      </c>
      <c r="W848" s="140">
        <v>0</v>
      </c>
      <c r="X848" s="140">
        <v>0</v>
      </c>
      <c r="Y848" s="140">
        <v>0</v>
      </c>
      <c r="Z848" s="140">
        <v>0</v>
      </c>
      <c r="AB848" s="139">
        <f t="shared" si="53"/>
        <v>0.10382300201334667</v>
      </c>
    </row>
    <row r="849" spans="1:28" x14ac:dyDescent="0.2">
      <c r="A849" s="127" t="str">
        <f>'Scenario List'!$A$20</f>
        <v>18- National GHG Pricing</v>
      </c>
      <c r="B849" s="128" t="s">
        <v>15</v>
      </c>
      <c r="D849" s="140">
        <v>0</v>
      </c>
      <c r="E849" s="140">
        <v>0</v>
      </c>
      <c r="F849" s="140">
        <v>0</v>
      </c>
      <c r="G849" s="140">
        <v>0</v>
      </c>
      <c r="H849" s="140">
        <v>0</v>
      </c>
      <c r="I849" s="140">
        <v>0</v>
      </c>
      <c r="J849" s="140">
        <v>0</v>
      </c>
      <c r="K849" s="140">
        <v>0</v>
      </c>
      <c r="L849" s="140">
        <v>200</v>
      </c>
      <c r="M849" s="140">
        <v>200</v>
      </c>
      <c r="N849" s="140">
        <v>0</v>
      </c>
      <c r="O849" s="140">
        <v>0</v>
      </c>
      <c r="P849" s="140">
        <v>0</v>
      </c>
      <c r="Q849" s="140">
        <v>0</v>
      </c>
      <c r="R849" s="140">
        <v>0</v>
      </c>
      <c r="S849" s="140">
        <v>0</v>
      </c>
      <c r="T849" s="140">
        <v>0</v>
      </c>
      <c r="U849" s="140">
        <v>0</v>
      </c>
      <c r="V849" s="140">
        <v>140</v>
      </c>
      <c r="W849" s="140">
        <v>105</v>
      </c>
      <c r="X849" s="140">
        <v>100</v>
      </c>
      <c r="Y849" s="140">
        <v>199.99999999998749</v>
      </c>
      <c r="Z849" s="140">
        <v>200</v>
      </c>
      <c r="AB849" s="139">
        <f t="shared" si="53"/>
        <v>1144.9999999999875</v>
      </c>
    </row>
    <row r="850" spans="1:28" x14ac:dyDescent="0.2">
      <c r="A850" s="127" t="str">
        <f>'Scenario List'!$A$20</f>
        <v>18- National GHG Pricing</v>
      </c>
      <c r="B850" s="128" t="s">
        <v>16</v>
      </c>
      <c r="D850" s="140">
        <v>0</v>
      </c>
      <c r="E850" s="140">
        <v>0</v>
      </c>
      <c r="F850" s="140">
        <v>0</v>
      </c>
      <c r="G850" s="140">
        <v>0</v>
      </c>
      <c r="H850" s="140">
        <v>0</v>
      </c>
      <c r="I850" s="140">
        <v>0</v>
      </c>
      <c r="J850" s="140">
        <v>0</v>
      </c>
      <c r="K850" s="140">
        <v>0</v>
      </c>
      <c r="L850" s="140">
        <v>0</v>
      </c>
      <c r="M850" s="140">
        <v>61.766519062681404</v>
      </c>
      <c r="N850" s="140">
        <v>0</v>
      </c>
      <c r="O850" s="140">
        <v>0</v>
      </c>
      <c r="P850" s="140">
        <v>0</v>
      </c>
      <c r="Q850" s="140">
        <v>0</v>
      </c>
      <c r="R850" s="140">
        <v>0</v>
      </c>
      <c r="S850" s="140">
        <v>50</v>
      </c>
      <c r="T850" s="140">
        <v>0.49999999999999289</v>
      </c>
      <c r="U850" s="140">
        <v>50</v>
      </c>
      <c r="V850" s="140">
        <v>0</v>
      </c>
      <c r="W850" s="140">
        <v>200.50906835886036</v>
      </c>
      <c r="X850" s="140">
        <v>0.49999999999999289</v>
      </c>
      <c r="Y850" s="140">
        <v>0</v>
      </c>
      <c r="Z850" s="140">
        <v>0</v>
      </c>
      <c r="AB850" s="139">
        <f t="shared" si="53"/>
        <v>363.27558742154179</v>
      </c>
    </row>
    <row r="851" spans="1:28" x14ac:dyDescent="0.2">
      <c r="A851" s="127" t="str">
        <f>'Scenario List'!$A$20</f>
        <v>18- National GHG Pricing</v>
      </c>
      <c r="B851" s="128" t="s">
        <v>85</v>
      </c>
      <c r="D851" s="140">
        <v>0</v>
      </c>
      <c r="E851" s="140">
        <v>0</v>
      </c>
      <c r="F851" s="140">
        <v>0</v>
      </c>
      <c r="G851" s="140">
        <v>0</v>
      </c>
      <c r="H851" s="140">
        <v>0</v>
      </c>
      <c r="I851" s="140">
        <v>0</v>
      </c>
      <c r="J851" s="140">
        <v>0</v>
      </c>
      <c r="K851" s="140">
        <v>0</v>
      </c>
      <c r="L851" s="140">
        <v>0</v>
      </c>
      <c r="M851" s="140">
        <v>0</v>
      </c>
      <c r="N851" s="140">
        <v>0</v>
      </c>
      <c r="O851" s="140">
        <v>0</v>
      </c>
      <c r="P851" s="140">
        <v>0</v>
      </c>
      <c r="Q851" s="140">
        <v>0</v>
      </c>
      <c r="R851" s="140">
        <v>0</v>
      </c>
      <c r="S851" s="140">
        <v>0</v>
      </c>
      <c r="T851" s="140">
        <v>0</v>
      </c>
      <c r="U851" s="140">
        <v>0</v>
      </c>
      <c r="V851" s="140">
        <v>0</v>
      </c>
      <c r="W851" s="140">
        <v>0</v>
      </c>
      <c r="X851" s="140">
        <v>0</v>
      </c>
      <c r="Y851" s="140">
        <v>0</v>
      </c>
      <c r="Z851" s="140">
        <v>318.23749304642388</v>
      </c>
      <c r="AB851" s="139">
        <f t="shared" si="53"/>
        <v>318.23749304642388</v>
      </c>
    </row>
    <row r="852" spans="1:28" x14ac:dyDescent="0.2">
      <c r="A852" s="127" t="str">
        <f>'Scenario List'!$A$20</f>
        <v>18- National GHG Pricing</v>
      </c>
      <c r="B852" s="128" t="s">
        <v>86</v>
      </c>
      <c r="D852" s="140">
        <v>0</v>
      </c>
      <c r="E852" s="140">
        <v>0</v>
      </c>
      <c r="F852" s="140">
        <v>0</v>
      </c>
      <c r="G852" s="140">
        <v>0</v>
      </c>
      <c r="H852" s="140">
        <v>0</v>
      </c>
      <c r="I852" s="140">
        <v>0</v>
      </c>
      <c r="J852" s="140">
        <v>0</v>
      </c>
      <c r="K852" s="140">
        <v>0</v>
      </c>
      <c r="L852" s="140">
        <v>0</v>
      </c>
      <c r="M852" s="140">
        <v>0</v>
      </c>
      <c r="N852" s="140">
        <v>0</v>
      </c>
      <c r="O852" s="140">
        <v>0</v>
      </c>
      <c r="P852" s="140">
        <v>0</v>
      </c>
      <c r="Q852" s="140">
        <v>0</v>
      </c>
      <c r="R852" s="140">
        <v>0</v>
      </c>
      <c r="S852" s="140">
        <v>0</v>
      </c>
      <c r="T852" s="140">
        <v>0</v>
      </c>
      <c r="U852" s="140">
        <v>0</v>
      </c>
      <c r="V852" s="140">
        <v>0</v>
      </c>
      <c r="W852" s="140">
        <v>0</v>
      </c>
      <c r="X852" s="140">
        <v>0</v>
      </c>
      <c r="Y852" s="140">
        <v>0</v>
      </c>
      <c r="Z852" s="140">
        <v>77.599999999999994</v>
      </c>
      <c r="AB852" s="139">
        <f t="shared" si="53"/>
        <v>77.599999999999994</v>
      </c>
    </row>
    <row r="853" spans="1:28" x14ac:dyDescent="0.2">
      <c r="A853" s="127" t="str">
        <f>'Scenario List'!$A$20</f>
        <v>18- National GHG Pricing</v>
      </c>
      <c r="B853" s="128" t="s">
        <v>87</v>
      </c>
      <c r="D853" s="140">
        <v>0</v>
      </c>
      <c r="E853" s="140">
        <v>0</v>
      </c>
      <c r="F853" s="140">
        <v>0</v>
      </c>
      <c r="G853" s="140">
        <v>0</v>
      </c>
      <c r="H853" s="140">
        <v>0</v>
      </c>
      <c r="I853" s="140">
        <v>0</v>
      </c>
      <c r="J853" s="140">
        <v>0</v>
      </c>
      <c r="K853" s="140">
        <v>0</v>
      </c>
      <c r="L853" s="140">
        <v>0</v>
      </c>
      <c r="M853" s="140">
        <v>0</v>
      </c>
      <c r="N853" s="140">
        <v>0</v>
      </c>
      <c r="O853" s="140">
        <v>0</v>
      </c>
      <c r="P853" s="140">
        <v>0</v>
      </c>
      <c r="Q853" s="140">
        <v>0</v>
      </c>
      <c r="R853" s="140">
        <v>0</v>
      </c>
      <c r="S853" s="140">
        <v>0</v>
      </c>
      <c r="T853" s="140">
        <v>0</v>
      </c>
      <c r="U853" s="140">
        <v>0</v>
      </c>
      <c r="V853" s="140">
        <v>0</v>
      </c>
      <c r="W853" s="140">
        <v>0</v>
      </c>
      <c r="X853" s="140">
        <v>0</v>
      </c>
      <c r="Y853" s="140">
        <v>0</v>
      </c>
      <c r="Z853" s="140">
        <v>0</v>
      </c>
      <c r="AB853" s="139">
        <f t="shared" si="53"/>
        <v>0</v>
      </c>
    </row>
    <row r="854" spans="1:28" x14ac:dyDescent="0.2">
      <c r="A854" s="127" t="str">
        <f>'Scenario List'!$A$20</f>
        <v>18- National GHG Pricing</v>
      </c>
      <c r="B854" s="128" t="s">
        <v>17</v>
      </c>
      <c r="D854" s="140">
        <v>0</v>
      </c>
      <c r="E854" s="140">
        <v>0</v>
      </c>
      <c r="F854" s="140">
        <v>6.7666466459931875</v>
      </c>
      <c r="G854" s="140">
        <v>0</v>
      </c>
      <c r="H854" s="140">
        <v>0</v>
      </c>
      <c r="I854" s="140">
        <v>0</v>
      </c>
      <c r="J854" s="140">
        <v>0</v>
      </c>
      <c r="K854" s="140">
        <v>0</v>
      </c>
      <c r="L854" s="140">
        <v>0</v>
      </c>
      <c r="M854" s="140">
        <v>0</v>
      </c>
      <c r="N854" s="140">
        <v>0</v>
      </c>
      <c r="O854" s="140">
        <v>0</v>
      </c>
      <c r="P854" s="140">
        <v>0</v>
      </c>
      <c r="Q854" s="140">
        <v>0</v>
      </c>
      <c r="R854" s="140">
        <v>0</v>
      </c>
      <c r="S854" s="140">
        <v>0</v>
      </c>
      <c r="T854" s="140">
        <v>0</v>
      </c>
      <c r="U854" s="140">
        <v>0</v>
      </c>
      <c r="V854" s="140">
        <v>0</v>
      </c>
      <c r="W854" s="140">
        <v>0</v>
      </c>
      <c r="X854" s="140">
        <v>0</v>
      </c>
      <c r="Y854" s="140">
        <v>0</v>
      </c>
      <c r="Z854" s="140">
        <v>0</v>
      </c>
      <c r="AB854" s="139">
        <f t="shared" si="53"/>
        <v>6.7666466459931875</v>
      </c>
    </row>
    <row r="855" spans="1:28" x14ac:dyDescent="0.2">
      <c r="A855" s="127" t="str">
        <f>'Scenario List'!$A$20</f>
        <v>18- National GHG Pricing</v>
      </c>
      <c r="B855" s="128" t="s">
        <v>18</v>
      </c>
      <c r="D855" s="140">
        <v>1.4924082571640032</v>
      </c>
      <c r="E855" s="140">
        <v>1.8635390321542009</v>
      </c>
      <c r="F855" s="140">
        <v>2.1026132097983985</v>
      </c>
      <c r="G855" s="140">
        <v>2.47965572795614</v>
      </c>
      <c r="H855" s="140">
        <v>2.6546246364356998</v>
      </c>
      <c r="I855" s="140">
        <v>2.8221318466559602</v>
      </c>
      <c r="J855" s="140">
        <v>2.8333097204145865</v>
      </c>
      <c r="K855" s="140">
        <v>2.7025667648392862</v>
      </c>
      <c r="L855" s="140">
        <v>3.0904666901381432</v>
      </c>
      <c r="M855" s="140">
        <v>3.2590206075522694</v>
      </c>
      <c r="N855" s="140">
        <v>3.1358807197928691</v>
      </c>
      <c r="O855" s="140">
        <v>3.2108253238081765</v>
      </c>
      <c r="P855" s="140">
        <v>3.1532573938147053</v>
      </c>
      <c r="Q855" s="140">
        <v>3.1911690376512851</v>
      </c>
      <c r="R855" s="140">
        <v>2.8680890796783629</v>
      </c>
      <c r="S855" s="140">
        <v>2.5648842698481715</v>
      </c>
      <c r="T855" s="140">
        <v>2.4557598714173494</v>
      </c>
      <c r="U855" s="140">
        <v>2.4649936459563335</v>
      </c>
      <c r="V855" s="140">
        <v>2.185515576550138</v>
      </c>
      <c r="W855" s="140">
        <v>2.2572620103081533</v>
      </c>
      <c r="X855" s="140">
        <v>1.37261031594619</v>
      </c>
      <c r="Y855" s="140">
        <v>1.5790497269017081</v>
      </c>
      <c r="Z855" s="140">
        <v>0.87361013080287364</v>
      </c>
      <c r="AB855" s="139">
        <f t="shared" si="53"/>
        <v>56.613243595585004</v>
      </c>
    </row>
    <row r="856" spans="1:28" x14ac:dyDescent="0.2">
      <c r="A856" s="127" t="str">
        <f>'Scenario List'!$A$20</f>
        <v>18- National GHG Pricing</v>
      </c>
      <c r="B856" s="128" t="s">
        <v>19</v>
      </c>
      <c r="D856" s="140">
        <v>1.3991819732250013</v>
      </c>
      <c r="E856" s="140">
        <v>1.7792885076106464</v>
      </c>
      <c r="F856" s="140">
        <v>2.0512574855376924</v>
      </c>
      <c r="G856" s="140">
        <v>2.4872656646470421</v>
      </c>
      <c r="H856" s="140">
        <v>2.7227461235551056</v>
      </c>
      <c r="I856" s="140">
        <v>2.9481453118970666</v>
      </c>
      <c r="J856" s="140">
        <v>3.01006211756218</v>
      </c>
      <c r="K856" s="140">
        <v>2.9364111514454798</v>
      </c>
      <c r="L856" s="140">
        <v>3.3499389997572742</v>
      </c>
      <c r="M856" s="140">
        <v>3.5944327510194611</v>
      </c>
      <c r="N856" s="140">
        <v>3.5115821293447382</v>
      </c>
      <c r="O856" s="140">
        <v>3.5847639775205948</v>
      </c>
      <c r="P856" s="140">
        <v>3.4957049160862752</v>
      </c>
      <c r="Q856" s="140">
        <v>3.4828548671968278</v>
      </c>
      <c r="R856" s="140">
        <v>3.0808692820134596</v>
      </c>
      <c r="S856" s="140">
        <v>2.6597195756024945</v>
      </c>
      <c r="T856" s="140">
        <v>2.5231420426912621</v>
      </c>
      <c r="U856" s="140">
        <v>2.4596556200711532</v>
      </c>
      <c r="V856" s="140">
        <v>2.0864393318602694</v>
      </c>
      <c r="W856" s="140">
        <v>2.1486153188909825</v>
      </c>
      <c r="X856" s="140">
        <v>1.3434569864764256</v>
      </c>
      <c r="Y856" s="140">
        <v>1.5407124218854023</v>
      </c>
      <c r="Z856" s="140">
        <v>0.86011889400234764</v>
      </c>
      <c r="AB856" s="139">
        <f t="shared" si="53"/>
        <v>59.056365449899182</v>
      </c>
    </row>
    <row r="857" spans="1:28" x14ac:dyDescent="0.2">
      <c r="A857" s="127" t="str">
        <f>'Scenario List'!$A$20</f>
        <v>18- National GHG Pricing</v>
      </c>
      <c r="B857" s="128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  <c r="AB857" s="139"/>
    </row>
    <row r="858" spans="1:28" x14ac:dyDescent="0.2">
      <c r="A858" s="127" t="str">
        <f>'Scenario List'!$A$20</f>
        <v>18- National GHG Pricing</v>
      </c>
      <c r="B858" s="132" t="s">
        <v>8</v>
      </c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  <c r="AB858" s="139"/>
    </row>
    <row r="859" spans="1:28" x14ac:dyDescent="0.2">
      <c r="A859" s="127" t="str">
        <f>'Scenario List'!$A$20</f>
        <v>18- National GHG Pricing</v>
      </c>
      <c r="B859" s="128" t="s">
        <v>12</v>
      </c>
      <c r="D859" s="140">
        <v>0</v>
      </c>
      <c r="E859" s="140">
        <v>0</v>
      </c>
      <c r="F859" s="140">
        <v>0</v>
      </c>
      <c r="G859" s="140">
        <v>0</v>
      </c>
      <c r="H859" s="140">
        <v>0</v>
      </c>
      <c r="I859" s="140">
        <v>0</v>
      </c>
      <c r="J859" s="140">
        <v>0</v>
      </c>
      <c r="K859" s="140">
        <v>0</v>
      </c>
      <c r="L859" s="140">
        <v>0</v>
      </c>
      <c r="M859" s="140">
        <v>0</v>
      </c>
      <c r="N859" s="140">
        <v>0</v>
      </c>
      <c r="O859" s="140">
        <v>0</v>
      </c>
      <c r="P859" s="140">
        <v>0</v>
      </c>
      <c r="Q859" s="140">
        <v>90.247500000000002</v>
      </c>
      <c r="R859" s="140">
        <v>0</v>
      </c>
      <c r="S859" s="140">
        <v>0</v>
      </c>
      <c r="T859" s="140">
        <v>0</v>
      </c>
      <c r="U859" s="140">
        <v>0</v>
      </c>
      <c r="V859" s="140">
        <v>0</v>
      </c>
      <c r="W859" s="140">
        <v>126.17231958456554</v>
      </c>
      <c r="X859" s="140">
        <v>0</v>
      </c>
      <c r="Y859" s="140">
        <v>0</v>
      </c>
      <c r="Z859" s="140">
        <v>60.342687369011401</v>
      </c>
      <c r="AB859" s="139">
        <f t="shared" ref="AB859:AB867" si="54">SUM(C859:Z859)</f>
        <v>276.76250695357692</v>
      </c>
    </row>
    <row r="860" spans="1:28" x14ac:dyDescent="0.2">
      <c r="A860" s="127" t="str">
        <f>'Scenario List'!$A$20</f>
        <v>18- National GHG Pricing</v>
      </c>
      <c r="B860" s="128" t="s">
        <v>13</v>
      </c>
      <c r="D860" s="140">
        <v>0</v>
      </c>
      <c r="E860" s="140">
        <v>0</v>
      </c>
      <c r="F860" s="140">
        <v>0</v>
      </c>
      <c r="G860" s="140">
        <v>0</v>
      </c>
      <c r="H860" s="140">
        <v>0</v>
      </c>
      <c r="I860" s="140">
        <v>0</v>
      </c>
      <c r="J860" s="140">
        <v>0</v>
      </c>
      <c r="K860" s="140">
        <v>0</v>
      </c>
      <c r="L860" s="140">
        <v>0</v>
      </c>
      <c r="M860" s="140">
        <v>0</v>
      </c>
      <c r="N860" s="140">
        <v>0</v>
      </c>
      <c r="O860" s="140">
        <v>0</v>
      </c>
      <c r="P860" s="140">
        <v>0</v>
      </c>
      <c r="Q860" s="140">
        <v>0</v>
      </c>
      <c r="R860" s="140">
        <v>0</v>
      </c>
      <c r="S860" s="140">
        <v>0</v>
      </c>
      <c r="T860" s="140">
        <v>0</v>
      </c>
      <c r="U860" s="140">
        <v>0</v>
      </c>
      <c r="V860" s="140">
        <v>0</v>
      </c>
      <c r="W860" s="140">
        <v>0</v>
      </c>
      <c r="X860" s="140">
        <v>0</v>
      </c>
      <c r="Y860" s="140">
        <v>0</v>
      </c>
      <c r="Z860" s="140">
        <v>0</v>
      </c>
      <c r="AB860" s="139">
        <f t="shared" si="54"/>
        <v>0</v>
      </c>
    </row>
    <row r="861" spans="1:28" x14ac:dyDescent="0.2">
      <c r="A861" s="127" t="str">
        <f>'Scenario List'!$A$20</f>
        <v>18- National GHG Pricing</v>
      </c>
      <c r="B861" s="128" t="s">
        <v>14</v>
      </c>
      <c r="D861" s="140">
        <v>0</v>
      </c>
      <c r="E861" s="140">
        <v>0</v>
      </c>
      <c r="F861" s="140">
        <v>0</v>
      </c>
      <c r="G861" s="140">
        <v>0</v>
      </c>
      <c r="H861" s="140">
        <v>0</v>
      </c>
      <c r="I861" s="140">
        <v>0</v>
      </c>
      <c r="J861" s="140">
        <v>0</v>
      </c>
      <c r="K861" s="140">
        <v>0</v>
      </c>
      <c r="L861" s="140">
        <v>0</v>
      </c>
      <c r="M861" s="140">
        <v>0</v>
      </c>
      <c r="N861" s="140">
        <v>0</v>
      </c>
      <c r="O861" s="140">
        <v>0</v>
      </c>
      <c r="P861" s="140">
        <v>0</v>
      </c>
      <c r="Q861" s="140">
        <v>0</v>
      </c>
      <c r="R861" s="140">
        <v>0</v>
      </c>
      <c r="S861" s="140">
        <v>0</v>
      </c>
      <c r="T861" s="140">
        <v>0</v>
      </c>
      <c r="U861" s="140">
        <v>0</v>
      </c>
      <c r="V861" s="140">
        <v>0</v>
      </c>
      <c r="W861" s="140">
        <v>0</v>
      </c>
      <c r="X861" s="140">
        <v>0</v>
      </c>
      <c r="Y861" s="140">
        <v>0</v>
      </c>
      <c r="Z861" s="140">
        <v>0</v>
      </c>
      <c r="AB861" s="139">
        <f t="shared" si="54"/>
        <v>0</v>
      </c>
    </row>
    <row r="862" spans="1:28" x14ac:dyDescent="0.2">
      <c r="A862" s="127" t="str">
        <f>'Scenario List'!$A$20</f>
        <v>18- National GHG Pricing</v>
      </c>
      <c r="B862" s="128" t="s">
        <v>15</v>
      </c>
      <c r="D862" s="140">
        <v>0</v>
      </c>
      <c r="E862" s="140">
        <v>0</v>
      </c>
      <c r="F862" s="140">
        <v>0</v>
      </c>
      <c r="G862" s="140">
        <v>0</v>
      </c>
      <c r="H862" s="140">
        <v>0</v>
      </c>
      <c r="I862" s="140">
        <v>0</v>
      </c>
      <c r="J862" s="140">
        <v>0</v>
      </c>
      <c r="K862" s="140">
        <v>0</v>
      </c>
      <c r="L862" s="140">
        <v>0</v>
      </c>
      <c r="M862" s="140">
        <v>0</v>
      </c>
      <c r="N862" s="140">
        <v>0</v>
      </c>
      <c r="O862" s="140">
        <v>0</v>
      </c>
      <c r="P862" s="140">
        <v>0</v>
      </c>
      <c r="Q862" s="140">
        <v>0</v>
      </c>
      <c r="R862" s="140">
        <v>0</v>
      </c>
      <c r="S862" s="140">
        <v>0</v>
      </c>
      <c r="T862" s="140">
        <v>0</v>
      </c>
      <c r="U862" s="140">
        <v>0</v>
      </c>
      <c r="V862" s="140">
        <v>0</v>
      </c>
      <c r="W862" s="140">
        <v>0</v>
      </c>
      <c r="X862" s="140">
        <v>0</v>
      </c>
      <c r="Y862" s="140">
        <v>0</v>
      </c>
      <c r="Z862" s="140">
        <v>0</v>
      </c>
      <c r="AB862" s="139">
        <f t="shared" si="54"/>
        <v>0</v>
      </c>
    </row>
    <row r="863" spans="1:28" x14ac:dyDescent="0.2">
      <c r="A863" s="127" t="str">
        <f>'Scenario List'!$A$20</f>
        <v>18- National GHG Pricing</v>
      </c>
      <c r="B863" s="128" t="s">
        <v>16</v>
      </c>
      <c r="D863" s="140">
        <v>0</v>
      </c>
      <c r="E863" s="140">
        <v>0</v>
      </c>
      <c r="F863" s="140">
        <v>0</v>
      </c>
      <c r="G863" s="140">
        <v>0</v>
      </c>
      <c r="H863" s="140">
        <v>0</v>
      </c>
      <c r="I863" s="140">
        <v>0</v>
      </c>
      <c r="J863" s="140">
        <v>0</v>
      </c>
      <c r="K863" s="140">
        <v>0</v>
      </c>
      <c r="L863" s="140">
        <v>0</v>
      </c>
      <c r="M863" s="140">
        <v>29.818553651315653</v>
      </c>
      <c r="N863" s="140">
        <v>0</v>
      </c>
      <c r="O863" s="140">
        <v>0</v>
      </c>
      <c r="P863" s="140">
        <v>0</v>
      </c>
      <c r="Q863" s="140">
        <v>0</v>
      </c>
      <c r="R863" s="140">
        <v>0</v>
      </c>
      <c r="S863" s="140">
        <v>0</v>
      </c>
      <c r="T863" s="140">
        <v>0</v>
      </c>
      <c r="U863" s="140">
        <v>0</v>
      </c>
      <c r="V863" s="140">
        <v>0</v>
      </c>
      <c r="W863" s="140">
        <v>0</v>
      </c>
      <c r="X863" s="140">
        <v>0</v>
      </c>
      <c r="Y863" s="140">
        <v>0</v>
      </c>
      <c r="Z863" s="140">
        <v>30.848014708575178</v>
      </c>
      <c r="AB863" s="139">
        <f t="shared" si="54"/>
        <v>60.666568359890832</v>
      </c>
    </row>
    <row r="864" spans="1:28" x14ac:dyDescent="0.2">
      <c r="A864" s="127" t="str">
        <f>'Scenario List'!$A$20</f>
        <v>18- National GHG Pricing</v>
      </c>
      <c r="B864" s="128" t="s">
        <v>85</v>
      </c>
      <c r="D864" s="140">
        <v>0</v>
      </c>
      <c r="E864" s="140">
        <v>0</v>
      </c>
      <c r="F864" s="140">
        <v>0</v>
      </c>
      <c r="G864" s="140">
        <v>0</v>
      </c>
      <c r="H864" s="140">
        <v>0</v>
      </c>
      <c r="I864" s="140">
        <v>0</v>
      </c>
      <c r="J864" s="140">
        <v>0</v>
      </c>
      <c r="K864" s="140">
        <v>0</v>
      </c>
      <c r="L864" s="140">
        <v>0</v>
      </c>
      <c r="M864" s="140">
        <v>0</v>
      </c>
      <c r="N864" s="140">
        <v>0</v>
      </c>
      <c r="O864" s="140">
        <v>0</v>
      </c>
      <c r="P864" s="140">
        <v>0</v>
      </c>
      <c r="Q864" s="140">
        <v>0</v>
      </c>
      <c r="R864" s="140">
        <v>0</v>
      </c>
      <c r="S864" s="140">
        <v>0</v>
      </c>
      <c r="T864" s="140">
        <v>0</v>
      </c>
      <c r="U864" s="140">
        <v>0</v>
      </c>
      <c r="V864" s="140">
        <v>0</v>
      </c>
      <c r="W864" s="140">
        <v>0</v>
      </c>
      <c r="X864" s="140">
        <v>0</v>
      </c>
      <c r="Y864" s="140">
        <v>0</v>
      </c>
      <c r="Z864" s="140">
        <v>0</v>
      </c>
      <c r="AB864" s="139">
        <f t="shared" si="54"/>
        <v>0</v>
      </c>
    </row>
    <row r="865" spans="1:28" x14ac:dyDescent="0.2">
      <c r="A865" s="127" t="str">
        <f>'Scenario List'!$A$20</f>
        <v>18- National GHG Pricing</v>
      </c>
      <c r="B865" s="128" t="s">
        <v>86</v>
      </c>
      <c r="D865" s="140">
        <v>0</v>
      </c>
      <c r="E865" s="140">
        <v>0</v>
      </c>
      <c r="F865" s="140">
        <v>0</v>
      </c>
      <c r="G865" s="140">
        <v>0</v>
      </c>
      <c r="H865" s="140">
        <v>0</v>
      </c>
      <c r="I865" s="140">
        <v>0</v>
      </c>
      <c r="J865" s="140">
        <v>0</v>
      </c>
      <c r="K865" s="140">
        <v>0</v>
      </c>
      <c r="L865" s="140">
        <v>0</v>
      </c>
      <c r="M865" s="140">
        <v>0</v>
      </c>
      <c r="N865" s="140">
        <v>0</v>
      </c>
      <c r="O865" s="140">
        <v>0</v>
      </c>
      <c r="P865" s="140">
        <v>0</v>
      </c>
      <c r="Q865" s="140">
        <v>0</v>
      </c>
      <c r="R865" s="140">
        <v>0</v>
      </c>
      <c r="S865" s="140">
        <v>0</v>
      </c>
      <c r="T865" s="140">
        <v>0</v>
      </c>
      <c r="U865" s="140">
        <v>0</v>
      </c>
      <c r="V865" s="140">
        <v>0</v>
      </c>
      <c r="W865" s="140">
        <v>0</v>
      </c>
      <c r="X865" s="140">
        <v>0</v>
      </c>
      <c r="Y865" s="140">
        <v>0</v>
      </c>
      <c r="Z865" s="140">
        <v>0</v>
      </c>
      <c r="AB865" s="139">
        <f t="shared" si="54"/>
        <v>0</v>
      </c>
    </row>
    <row r="866" spans="1:28" x14ac:dyDescent="0.2">
      <c r="A866" s="127" t="str">
        <f>'Scenario List'!$A$20</f>
        <v>18- National GHG Pricing</v>
      </c>
      <c r="B866" s="128" t="s">
        <v>87</v>
      </c>
      <c r="D866" s="140">
        <v>0</v>
      </c>
      <c r="E866" s="140">
        <v>0</v>
      </c>
      <c r="F866" s="140">
        <v>0</v>
      </c>
      <c r="G866" s="140">
        <v>0</v>
      </c>
      <c r="H866" s="140">
        <v>0</v>
      </c>
      <c r="I866" s="140">
        <v>0</v>
      </c>
      <c r="J866" s="140">
        <v>0</v>
      </c>
      <c r="K866" s="140">
        <v>0</v>
      </c>
      <c r="L866" s="140">
        <v>0</v>
      </c>
      <c r="M866" s="140">
        <v>0</v>
      </c>
      <c r="N866" s="140">
        <v>0</v>
      </c>
      <c r="O866" s="140">
        <v>0</v>
      </c>
      <c r="P866" s="140">
        <v>0</v>
      </c>
      <c r="Q866" s="140">
        <v>0</v>
      </c>
      <c r="R866" s="140">
        <v>0</v>
      </c>
      <c r="S866" s="140">
        <v>0</v>
      </c>
      <c r="T866" s="140">
        <v>0</v>
      </c>
      <c r="U866" s="140">
        <v>0</v>
      </c>
      <c r="V866" s="140">
        <v>0</v>
      </c>
      <c r="W866" s="140">
        <v>0</v>
      </c>
      <c r="X866" s="140">
        <v>0</v>
      </c>
      <c r="Y866" s="140">
        <v>0</v>
      </c>
      <c r="Z866" s="140">
        <v>0</v>
      </c>
      <c r="AB866" s="139">
        <f t="shared" si="54"/>
        <v>0</v>
      </c>
    </row>
    <row r="867" spans="1:28" x14ac:dyDescent="0.2">
      <c r="A867" s="127" t="str">
        <f>'Scenario List'!$A$20</f>
        <v>18- National GHG Pricing</v>
      </c>
      <c r="B867" s="128" t="s">
        <v>17</v>
      </c>
      <c r="D867" s="140">
        <v>0</v>
      </c>
      <c r="E867" s="140">
        <v>0</v>
      </c>
      <c r="F867" s="140">
        <v>0</v>
      </c>
      <c r="G867" s="140">
        <v>0</v>
      </c>
      <c r="H867" s="140">
        <v>0</v>
      </c>
      <c r="I867" s="140">
        <v>0</v>
      </c>
      <c r="J867" s="140">
        <v>0</v>
      </c>
      <c r="K867" s="140">
        <v>0</v>
      </c>
      <c r="L867" s="140">
        <v>0</v>
      </c>
      <c r="M867" s="140">
        <v>0</v>
      </c>
      <c r="N867" s="140">
        <v>0</v>
      </c>
      <c r="O867" s="140">
        <v>0</v>
      </c>
      <c r="P867" s="140">
        <v>0</v>
      </c>
      <c r="Q867" s="140">
        <v>0</v>
      </c>
      <c r="R867" s="140">
        <v>0</v>
      </c>
      <c r="S867" s="140">
        <v>0</v>
      </c>
      <c r="T867" s="140">
        <v>0</v>
      </c>
      <c r="U867" s="140">
        <v>0</v>
      </c>
      <c r="V867" s="140">
        <v>0</v>
      </c>
      <c r="W867" s="140">
        <v>0</v>
      </c>
      <c r="X867" s="140">
        <v>0</v>
      </c>
      <c r="Y867" s="140">
        <v>0</v>
      </c>
      <c r="Z867" s="140">
        <v>0</v>
      </c>
      <c r="AB867" s="139">
        <f t="shared" si="54"/>
        <v>0</v>
      </c>
    </row>
    <row r="868" spans="1:28" x14ac:dyDescent="0.2">
      <c r="A868" s="127" t="str">
        <f>'Scenario List'!$A$20</f>
        <v>18- National GHG Pricing</v>
      </c>
      <c r="B868" s="128" t="s">
        <v>18</v>
      </c>
      <c r="D868" s="140">
        <v>0.7146955250245931</v>
      </c>
      <c r="E868" s="140">
        <v>0.87508939918525741</v>
      </c>
      <c r="F868" s="140">
        <v>1.0097221059808652</v>
      </c>
      <c r="G868" s="140">
        <v>1.1723250477369453</v>
      </c>
      <c r="H868" s="140">
        <v>1.2637799514400405</v>
      </c>
      <c r="I868" s="140">
        <v>1.3457713704333516</v>
      </c>
      <c r="J868" s="140">
        <v>1.343595617652432</v>
      </c>
      <c r="K868" s="140">
        <v>1.325414198899356</v>
      </c>
      <c r="L868" s="140">
        <v>1.4319495081757037</v>
      </c>
      <c r="M868" s="140">
        <v>1.4797504594623714</v>
      </c>
      <c r="N868" s="140">
        <v>1.3815436496086733</v>
      </c>
      <c r="O868" s="140">
        <v>1.3941212078772747</v>
      </c>
      <c r="P868" s="140">
        <v>1.3430096947273409</v>
      </c>
      <c r="Q868" s="140">
        <v>1.3463472166769002</v>
      </c>
      <c r="R868" s="140">
        <v>1.1971760787538734</v>
      </c>
      <c r="S868" s="140">
        <v>1.0524576330483626</v>
      </c>
      <c r="T868" s="140">
        <v>1.0128538360737984</v>
      </c>
      <c r="U868" s="140">
        <v>1.022154661548246</v>
      </c>
      <c r="V868" s="140">
        <v>0.87601485158088011</v>
      </c>
      <c r="W868" s="140">
        <v>0.92847883713329082</v>
      </c>
      <c r="X868" s="140">
        <v>0.51844241969947191</v>
      </c>
      <c r="Y868" s="140">
        <v>0.58357828736260586</v>
      </c>
      <c r="Z868" s="140">
        <v>0.35438504581174612</v>
      </c>
      <c r="AB868" s="139">
        <f>SUM(C868:Z868)</f>
        <v>24.97265660389338</v>
      </c>
    </row>
    <row r="869" spans="1:28" x14ac:dyDescent="0.2">
      <c r="A869" s="127" t="str">
        <f>'Scenario List'!$A$20</f>
        <v>18- National GHG Pricing</v>
      </c>
      <c r="B869" s="128" t="s">
        <v>19</v>
      </c>
      <c r="D869" s="140">
        <v>0.63044057418111288</v>
      </c>
      <c r="E869" s="140">
        <v>0.78976221873410701</v>
      </c>
      <c r="F869" s="140">
        <v>0.92865231263818515</v>
      </c>
      <c r="G869" s="140">
        <v>1.1066287630665466</v>
      </c>
      <c r="H869" s="140">
        <v>1.2122266035846825</v>
      </c>
      <c r="I869" s="140">
        <v>1.30590196889385</v>
      </c>
      <c r="J869" s="140">
        <v>1.319552219529629</v>
      </c>
      <c r="K869" s="140">
        <v>1.3177621843971465</v>
      </c>
      <c r="L869" s="140">
        <v>1.4414934193080047</v>
      </c>
      <c r="M869" s="140">
        <v>1.5200678807060637</v>
      </c>
      <c r="N869" s="140">
        <v>1.4543969824827645</v>
      </c>
      <c r="O869" s="140">
        <v>1.4851706738622692</v>
      </c>
      <c r="P869" s="140">
        <v>1.4354986851043581</v>
      </c>
      <c r="Q869" s="140">
        <v>1.429235173582331</v>
      </c>
      <c r="R869" s="140">
        <v>1.2608057366057359</v>
      </c>
      <c r="S869" s="140">
        <v>1.096824759412204</v>
      </c>
      <c r="T869" s="140">
        <v>1.0561754088581168</v>
      </c>
      <c r="U869" s="140">
        <v>1.0338213015951006</v>
      </c>
      <c r="V869" s="140">
        <v>0.86535904069658898</v>
      </c>
      <c r="W869" s="140">
        <v>0.90299442715900469</v>
      </c>
      <c r="X869" s="140">
        <v>0.53024731530101477</v>
      </c>
      <c r="Y869" s="140">
        <v>0.59764995044640301</v>
      </c>
      <c r="Z869" s="140">
        <v>0.37204908123909775</v>
      </c>
      <c r="AB869" s="139">
        <f t="shared" ref="AB869" si="55">SUM(C869:Z869)</f>
        <v>25.092716681384317</v>
      </c>
    </row>
    <row r="870" spans="1:28" x14ac:dyDescent="0.2">
      <c r="A870" s="127" t="str">
        <f>'Scenario List'!$A$20</f>
        <v>18- National GHG Pricing</v>
      </c>
      <c r="B870" s="128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  <c r="AB870" s="139"/>
    </row>
    <row r="871" spans="1:28" x14ac:dyDescent="0.2">
      <c r="A871" s="127" t="str">
        <f>'Scenario List'!$A$20</f>
        <v>18- National GHG Pricing</v>
      </c>
      <c r="B871" s="131" t="s">
        <v>31</v>
      </c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  <c r="AB871" s="139"/>
    </row>
    <row r="872" spans="1:28" x14ac:dyDescent="0.2">
      <c r="A872" s="127" t="str">
        <f>'Scenario List'!$A$20</f>
        <v>18- National GHG Pricing</v>
      </c>
      <c r="B872" s="128" t="s">
        <v>1</v>
      </c>
      <c r="D872" s="140">
        <v>20.187927729996392</v>
      </c>
      <c r="E872" s="140">
        <v>43.966264532205592</v>
      </c>
      <c r="F872" s="140">
        <v>71.130404749689603</v>
      </c>
      <c r="G872" s="140">
        <v>100.37787873548956</v>
      </c>
      <c r="H872" s="140">
        <v>132.25583953057591</v>
      </c>
      <c r="I872" s="140">
        <v>166.89747746546436</v>
      </c>
      <c r="J872" s="140">
        <v>203.13164615247035</v>
      </c>
      <c r="K872" s="140">
        <v>238.28920970147945</v>
      </c>
      <c r="L872" s="140">
        <v>273.58318490892157</v>
      </c>
      <c r="M872" s="140">
        <v>307.26155961612977</v>
      </c>
      <c r="N872" s="140">
        <v>337.52302807146378</v>
      </c>
      <c r="O872" s="140">
        <v>364.57453101946169</v>
      </c>
      <c r="P872" s="140">
        <v>388.64570400260646</v>
      </c>
      <c r="Q872" s="140">
        <v>410.10838342498471</v>
      </c>
      <c r="R872" s="140">
        <v>429.40457380056006</v>
      </c>
      <c r="S872" s="140">
        <v>444.76350308828887</v>
      </c>
      <c r="T872" s="140">
        <v>458.76590046624119</v>
      </c>
      <c r="U872" s="140">
        <v>471.22329316686171</v>
      </c>
      <c r="V872" s="140">
        <v>483.04538913860893</v>
      </c>
      <c r="W872" s="140">
        <v>494.23507644091745</v>
      </c>
      <c r="X872" s="140">
        <v>500.54432955140953</v>
      </c>
      <c r="Y872" s="140">
        <v>506.72029927092723</v>
      </c>
      <c r="Z872" s="140">
        <v>511.42028445317806</v>
      </c>
      <c r="AB872" s="139">
        <f>Z872/8.76</f>
        <v>58.381311010636765</v>
      </c>
    </row>
    <row r="873" spans="1:28" x14ac:dyDescent="0.2">
      <c r="A873" s="127" t="str">
        <f>'Scenario List'!$A$20</f>
        <v>18- National GHG Pricing</v>
      </c>
      <c r="B873" s="128" t="s">
        <v>2</v>
      </c>
      <c r="D873" s="140">
        <v>7.9757815095137596</v>
      </c>
      <c r="E873" s="140">
        <v>17.253682948904988</v>
      </c>
      <c r="F873" s="140">
        <v>27.795913106151421</v>
      </c>
      <c r="G873" s="140">
        <v>39.036916593583314</v>
      </c>
      <c r="H873" s="140">
        <v>51.200992904049969</v>
      </c>
      <c r="I873" s="140">
        <v>64.155732162226769</v>
      </c>
      <c r="J873" s="140">
        <v>77.507302818611791</v>
      </c>
      <c r="K873" s="140">
        <v>90.435828524892628</v>
      </c>
      <c r="L873" s="140">
        <v>103.51970869519755</v>
      </c>
      <c r="M873" s="140">
        <v>116.23459307525563</v>
      </c>
      <c r="N873" s="140">
        <v>127.23846594096463</v>
      </c>
      <c r="O873" s="140">
        <v>137.37479107345271</v>
      </c>
      <c r="P873" s="140">
        <v>146.71434373839162</v>
      </c>
      <c r="Q873" s="140">
        <v>155.38337591900986</v>
      </c>
      <c r="R873" s="140">
        <v>163.44134508725705</v>
      </c>
      <c r="S873" s="140">
        <v>169.95416026043605</v>
      </c>
      <c r="T873" s="140">
        <v>176.02337266488885</v>
      </c>
      <c r="U873" s="140">
        <v>181.5097563951195</v>
      </c>
      <c r="V873" s="140">
        <v>186.69252879367352</v>
      </c>
      <c r="W873" s="140">
        <v>191.65739461716393</v>
      </c>
      <c r="X873" s="140">
        <v>194.16132444517538</v>
      </c>
      <c r="Y873" s="140">
        <v>196.60794977324892</v>
      </c>
      <c r="Z873" s="140">
        <v>198.63331413012241</v>
      </c>
      <c r="AB873" s="139">
        <f>Z873/8.76</f>
        <v>22.675035859603017</v>
      </c>
    </row>
    <row r="874" spans="1:28" x14ac:dyDescent="0.2">
      <c r="A874" s="127" t="str">
        <f>'Scenario List'!$A$20</f>
        <v>18- National GHG Pricing</v>
      </c>
      <c r="B874" s="128" t="s">
        <v>4</v>
      </c>
      <c r="D874" s="140">
        <v>28.163709239510151</v>
      </c>
      <c r="E874" s="140">
        <v>61.21994748111058</v>
      </c>
      <c r="F874" s="140">
        <v>98.92631785584102</v>
      </c>
      <c r="G874" s="140">
        <v>139.41479532907289</v>
      </c>
      <c r="H874" s="140">
        <v>183.45683243462588</v>
      </c>
      <c r="I874" s="140">
        <v>231.05320962769113</v>
      </c>
      <c r="J874" s="140">
        <v>280.63894897108213</v>
      </c>
      <c r="K874" s="140">
        <v>328.72503822637208</v>
      </c>
      <c r="L874" s="140">
        <v>377.10289360411912</v>
      </c>
      <c r="M874" s="140">
        <v>423.49615269138542</v>
      </c>
      <c r="N874" s="140">
        <v>464.76149401242844</v>
      </c>
      <c r="O874" s="140">
        <v>501.94932209291437</v>
      </c>
      <c r="P874" s="140">
        <v>535.36004774099808</v>
      </c>
      <c r="Q874" s="140">
        <v>565.49175934399454</v>
      </c>
      <c r="R874" s="140">
        <v>592.84591888781711</v>
      </c>
      <c r="S874" s="140">
        <v>614.71766334872495</v>
      </c>
      <c r="T874" s="140">
        <v>634.78927313113002</v>
      </c>
      <c r="U874" s="140">
        <v>652.73304956198126</v>
      </c>
      <c r="V874" s="140">
        <v>669.73791793228247</v>
      </c>
      <c r="W874" s="140">
        <v>685.89247105808136</v>
      </c>
      <c r="X874" s="140">
        <v>694.70565399658494</v>
      </c>
      <c r="Y874" s="140">
        <v>703.32824904417612</v>
      </c>
      <c r="Z874" s="140">
        <v>710.05359858330053</v>
      </c>
      <c r="AB874" s="139">
        <f>Z874/8.76</f>
        <v>81.056346870239793</v>
      </c>
    </row>
    <row r="875" spans="1:28" x14ac:dyDescent="0.2">
      <c r="A875" s="127" t="str">
        <f>'Scenario List'!$A$20</f>
        <v>18- National GHG Pricing</v>
      </c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  <c r="AB875" s="139"/>
    </row>
    <row r="876" spans="1:28" x14ac:dyDescent="0.2">
      <c r="A876" s="127" t="str">
        <f>'Scenario List'!$A$20</f>
        <v>18- National GHG Pricing</v>
      </c>
      <c r="B876" s="141" t="s">
        <v>32</v>
      </c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  <c r="AB876" s="139"/>
    </row>
    <row r="877" spans="1:28" x14ac:dyDescent="0.2">
      <c r="A877" s="127" t="str">
        <f>'Scenario List'!$A$20</f>
        <v>18- National GHG Pricing</v>
      </c>
      <c r="B877" s="128" t="s">
        <v>1</v>
      </c>
      <c r="D877" s="140">
        <v>2.4296628600070069</v>
      </c>
      <c r="E877" s="140">
        <v>5.2933595962841835</v>
      </c>
      <c r="F877" s="140">
        <v>8.561757693427781</v>
      </c>
      <c r="G877" s="140">
        <v>12.083267057745484</v>
      </c>
      <c r="H877" s="140">
        <v>15.92186402052452</v>
      </c>
      <c r="I877" s="140">
        <v>20.100003245244551</v>
      </c>
      <c r="J877" s="140">
        <v>24.457848919788361</v>
      </c>
      <c r="K877" s="140">
        <v>28.692975754738175</v>
      </c>
      <c r="L877" s="140">
        <v>32.94561606757496</v>
      </c>
      <c r="M877" s="140">
        <v>37.016526445210097</v>
      </c>
      <c r="N877" s="140">
        <v>40.652594310989045</v>
      </c>
      <c r="O877" s="140">
        <v>43.914786867933479</v>
      </c>
      <c r="P877" s="140">
        <v>46.818637041478837</v>
      </c>
      <c r="Q877" s="140">
        <v>49.425505327133173</v>
      </c>
      <c r="R877" s="140">
        <v>51.738678350165607</v>
      </c>
      <c r="S877" s="140">
        <v>53.594634142087457</v>
      </c>
      <c r="T877" s="140">
        <v>55.287629513946129</v>
      </c>
      <c r="U877" s="140">
        <v>56.814814235728363</v>
      </c>
      <c r="V877" s="140">
        <v>58.22621392133987</v>
      </c>
      <c r="W877" s="140">
        <v>59.581787205216266</v>
      </c>
      <c r="X877" s="140">
        <v>60.349500663505403</v>
      </c>
      <c r="Y877" s="140">
        <v>61.123963122930583</v>
      </c>
      <c r="Z877" s="140">
        <v>61.676289196862726</v>
      </c>
      <c r="AB877" s="139">
        <f>Z877</f>
        <v>61.676289196862726</v>
      </c>
    </row>
    <row r="878" spans="1:28" x14ac:dyDescent="0.2">
      <c r="A878" s="127" t="str">
        <f>'Scenario List'!$A$20</f>
        <v>18- National GHG Pricing</v>
      </c>
      <c r="B878" s="128" t="s">
        <v>2</v>
      </c>
      <c r="D878" s="140">
        <v>0.9599033824755856</v>
      </c>
      <c r="E878" s="140">
        <v>2.0772733180898548</v>
      </c>
      <c r="F878" s="140">
        <v>3.3457123394687351</v>
      </c>
      <c r="G878" s="140">
        <v>4.69917768987911</v>
      </c>
      <c r="H878" s="140">
        <v>6.1639262933691237</v>
      </c>
      <c r="I878" s="140">
        <v>7.7264824145028639</v>
      </c>
      <c r="J878" s="140">
        <v>9.3321840216615577</v>
      </c>
      <c r="K878" s="140">
        <v>10.889595204395411</v>
      </c>
      <c r="L878" s="140">
        <v>12.466119141183968</v>
      </c>
      <c r="M878" s="140">
        <v>14.003056203300506</v>
      </c>
      <c r="N878" s="140">
        <v>15.325098753129945</v>
      </c>
      <c r="O878" s="140">
        <v>16.547466039791804</v>
      </c>
      <c r="P878" s="140">
        <v>17.674106615675992</v>
      </c>
      <c r="Q878" s="140">
        <v>18.726517634423669</v>
      </c>
      <c r="R878" s="140">
        <v>19.692941571962788</v>
      </c>
      <c r="S878" s="140">
        <v>20.479717820451732</v>
      </c>
      <c r="T878" s="140">
        <v>21.21324842103817</v>
      </c>
      <c r="U878" s="140">
        <v>21.884408604371249</v>
      </c>
      <c r="V878" s="140">
        <v>22.503887550693705</v>
      </c>
      <c r="W878" s="140">
        <v>23.104977057918553</v>
      </c>
      <c r="X878" s="140">
        <v>23.4095928904689</v>
      </c>
      <c r="Y878" s="140">
        <v>23.716154827240707</v>
      </c>
      <c r="Z878" s="140">
        <v>23.954790411803305</v>
      </c>
      <c r="AB878" s="139">
        <f>Z878</f>
        <v>23.954790411803305</v>
      </c>
    </row>
    <row r="879" spans="1:28" x14ac:dyDescent="0.2">
      <c r="A879" s="127" t="str">
        <f>'Scenario List'!$A$20</f>
        <v>18- National GHG Pricing</v>
      </c>
      <c r="B879" s="128" t="s">
        <v>4</v>
      </c>
      <c r="D879" s="140">
        <v>3.3895662424825925</v>
      </c>
      <c r="E879" s="140">
        <v>7.3706329143740383</v>
      </c>
      <c r="F879" s="140">
        <v>11.907470032896516</v>
      </c>
      <c r="G879" s="140">
        <v>16.782444747624595</v>
      </c>
      <c r="H879" s="140">
        <v>22.085790313893643</v>
      </c>
      <c r="I879" s="140">
        <v>27.826485659747416</v>
      </c>
      <c r="J879" s="140">
        <v>33.790032941449923</v>
      </c>
      <c r="K879" s="140">
        <v>39.582570959133584</v>
      </c>
      <c r="L879" s="140">
        <v>45.411735208758927</v>
      </c>
      <c r="M879" s="140">
        <v>51.019582648510607</v>
      </c>
      <c r="N879" s="140">
        <v>55.977693064118988</v>
      </c>
      <c r="O879" s="140">
        <v>60.462252907725286</v>
      </c>
      <c r="P879" s="140">
        <v>64.492743657154833</v>
      </c>
      <c r="Q879" s="140">
        <v>68.152022961556838</v>
      </c>
      <c r="R879" s="140">
        <v>71.431619922128391</v>
      </c>
      <c r="S879" s="140">
        <v>74.074351962539197</v>
      </c>
      <c r="T879" s="140">
        <v>76.500877934984302</v>
      </c>
      <c r="U879" s="140">
        <v>78.699222840099608</v>
      </c>
      <c r="V879" s="140">
        <v>80.730101472033567</v>
      </c>
      <c r="W879" s="140">
        <v>82.686764263134819</v>
      </c>
      <c r="X879" s="140">
        <v>83.75909355397431</v>
      </c>
      <c r="Y879" s="140">
        <v>84.84011795017129</v>
      </c>
      <c r="Z879" s="140">
        <v>85.631079608666028</v>
      </c>
      <c r="AB879" s="139">
        <f>Z879</f>
        <v>85.631079608666028</v>
      </c>
    </row>
  </sheetData>
  <phoneticPr fontId="13" type="noConversion"/>
  <conditionalFormatting sqref="C146:AC147 C4:Z244">
    <cfRule type="cellIs" dxfId="32" priority="41" operator="greaterThan">
      <formula>0</formula>
    </cfRule>
  </conditionalFormatting>
  <conditionalFormatting sqref="AB4:AB37">
    <cfRule type="cellIs" dxfId="31" priority="38" operator="greaterThan">
      <formula>0</formula>
    </cfRule>
  </conditionalFormatting>
  <conditionalFormatting sqref="D246:Z291">
    <cfRule type="cellIs" dxfId="30" priority="34" operator="greaterThan">
      <formula>0</formula>
    </cfRule>
  </conditionalFormatting>
  <conditionalFormatting sqref="D295:Z340">
    <cfRule type="cellIs" dxfId="29" priority="33" operator="greaterThan">
      <formula>0</formula>
    </cfRule>
  </conditionalFormatting>
  <conditionalFormatting sqref="D344:Z389">
    <cfRule type="cellIs" dxfId="28" priority="32" operator="greaterThan">
      <formula>0</formula>
    </cfRule>
  </conditionalFormatting>
  <conditionalFormatting sqref="D393:Z438">
    <cfRule type="cellIs" dxfId="27" priority="31" operator="greaterThan">
      <formula>0</formula>
    </cfRule>
  </conditionalFormatting>
  <conditionalFormatting sqref="D442:Z487">
    <cfRule type="cellIs" dxfId="26" priority="30" operator="greaterThan">
      <formula>0</formula>
    </cfRule>
  </conditionalFormatting>
  <conditionalFormatting sqref="D491:Z536">
    <cfRule type="cellIs" dxfId="25" priority="29" operator="greaterThan">
      <formula>0</formula>
    </cfRule>
  </conditionalFormatting>
  <conditionalFormatting sqref="D540:Z585">
    <cfRule type="cellIs" dxfId="24" priority="27" operator="greaterThan">
      <formula>0</formula>
    </cfRule>
  </conditionalFormatting>
  <conditionalFormatting sqref="D589:Z634">
    <cfRule type="cellIs" dxfId="23" priority="26" operator="greaterThan">
      <formula>0</formula>
    </cfRule>
  </conditionalFormatting>
  <conditionalFormatting sqref="D638:Z683">
    <cfRule type="cellIs" dxfId="22" priority="25" operator="greaterThan">
      <formula>0</formula>
    </cfRule>
  </conditionalFormatting>
  <conditionalFormatting sqref="D687:Z732">
    <cfRule type="cellIs" dxfId="21" priority="24" operator="greaterThan">
      <formula>0</formula>
    </cfRule>
  </conditionalFormatting>
  <conditionalFormatting sqref="D736:Z781">
    <cfRule type="cellIs" dxfId="20" priority="23" operator="greaterThan">
      <formula>0</formula>
    </cfRule>
  </conditionalFormatting>
  <conditionalFormatting sqref="AB52:AB85">
    <cfRule type="cellIs" dxfId="19" priority="22" operator="greaterThan">
      <formula>0</formula>
    </cfRule>
  </conditionalFormatting>
  <conditionalFormatting sqref="AB100:AB133">
    <cfRule type="cellIs" dxfId="18" priority="21" operator="greaterThan">
      <formula>0</formula>
    </cfRule>
  </conditionalFormatting>
  <conditionalFormatting sqref="AB148:AB181">
    <cfRule type="cellIs" dxfId="17" priority="20" operator="greaterThan">
      <formula>0</formula>
    </cfRule>
  </conditionalFormatting>
  <conditionalFormatting sqref="AB197:AB230">
    <cfRule type="cellIs" dxfId="16" priority="19" operator="greaterThan">
      <formula>0</formula>
    </cfRule>
  </conditionalFormatting>
  <conditionalFormatting sqref="AB246:AB279">
    <cfRule type="cellIs" dxfId="15" priority="18" operator="greaterThan">
      <formula>0</formula>
    </cfRule>
  </conditionalFormatting>
  <conditionalFormatting sqref="AB295:AB328">
    <cfRule type="cellIs" dxfId="14" priority="17" operator="greaterThan">
      <formula>0</formula>
    </cfRule>
  </conditionalFormatting>
  <conditionalFormatting sqref="AB344:AB377">
    <cfRule type="cellIs" dxfId="13" priority="16" operator="greaterThan">
      <formula>0</formula>
    </cfRule>
  </conditionalFormatting>
  <conditionalFormatting sqref="AB393:AB426">
    <cfRule type="cellIs" dxfId="12" priority="15" operator="greaterThan">
      <formula>0</formula>
    </cfRule>
  </conditionalFormatting>
  <conditionalFormatting sqref="AB442:AB475">
    <cfRule type="cellIs" dxfId="11" priority="14" operator="greaterThan">
      <formula>0</formula>
    </cfRule>
  </conditionalFormatting>
  <conditionalFormatting sqref="AB491:AB524">
    <cfRule type="cellIs" dxfId="10" priority="13" operator="greaterThan">
      <formula>0</formula>
    </cfRule>
  </conditionalFormatting>
  <conditionalFormatting sqref="AB540:AB573">
    <cfRule type="cellIs" dxfId="9" priority="11" operator="greaterThan">
      <formula>0</formula>
    </cfRule>
  </conditionalFormatting>
  <conditionalFormatting sqref="AB589:AB622">
    <cfRule type="cellIs" dxfId="8" priority="10" operator="greaterThan">
      <formula>0</formula>
    </cfRule>
  </conditionalFormatting>
  <conditionalFormatting sqref="AB638:AB671">
    <cfRule type="cellIs" dxfId="7" priority="9" operator="greaterThan">
      <formula>0</formula>
    </cfRule>
  </conditionalFormatting>
  <conditionalFormatting sqref="AB687:AB720">
    <cfRule type="cellIs" dxfId="6" priority="8" operator="greaterThan">
      <formula>0</formula>
    </cfRule>
  </conditionalFormatting>
  <conditionalFormatting sqref="AB736:AB769">
    <cfRule type="cellIs" dxfId="5" priority="7" operator="greaterThan">
      <formula>0</formula>
    </cfRule>
  </conditionalFormatting>
  <conditionalFormatting sqref="D785:Z830">
    <cfRule type="cellIs" dxfId="4" priority="6" operator="greaterThan">
      <formula>0</formula>
    </cfRule>
  </conditionalFormatting>
  <conditionalFormatting sqref="AB785:AB818">
    <cfRule type="cellIs" dxfId="3" priority="5" operator="greaterThan">
      <formula>0</formula>
    </cfRule>
  </conditionalFormatting>
  <conditionalFormatting sqref="D834:Z879">
    <cfRule type="cellIs" dxfId="2" priority="2" operator="greaterThan">
      <formula>0</formula>
    </cfRule>
  </conditionalFormatting>
  <conditionalFormatting sqref="AB834:AB867">
    <cfRule type="cellIs" dxfId="1" priority="1" operator="greater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7A81-821D-41AA-BA04-1FE48D6EDA45}">
  <dimension ref="A2:AM47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1" sqref="L21"/>
    </sheetView>
  </sheetViews>
  <sheetFormatPr defaultRowHeight="12.75" x14ac:dyDescent="0.2"/>
  <cols>
    <col min="1" max="2" width="9.140625" style="130"/>
    <col min="3" max="3" width="22.7109375" style="130" bestFit="1" customWidth="1"/>
    <col min="4" max="21" width="9.42578125" style="130" customWidth="1"/>
    <col min="22" max="16384" width="9.140625" style="130"/>
  </cols>
  <sheetData>
    <row r="2" spans="1:39" s="129" customFormat="1" ht="87.75" customHeight="1" x14ac:dyDescent="0.2">
      <c r="C2" s="183"/>
      <c r="D2" s="183" t="str">
        <f>'Scenario List'!$A$3</f>
        <v>1- Preferred Resource Strategy</v>
      </c>
      <c r="E2" s="183" t="str">
        <f>'Scenario List'!$A$4</f>
        <v>2- Alternative Lowest Reasonable Cost Portfolio</v>
      </c>
      <c r="F2" s="183" t="str">
        <f>'Scenario List'!$A$5</f>
        <v>3- Baseline Portfolio</v>
      </c>
      <c r="G2" s="183" t="str">
        <f>'Scenario List'!$A$6</f>
        <v>4- No Resource Additions</v>
      </c>
      <c r="H2" s="183" t="str">
        <f>'Scenario List'!$A$7</f>
        <v>5- No CETA/ No new NG</v>
      </c>
      <c r="I2" s="183" t="str">
        <f>'Scenario List'!$A$8</f>
        <v>6- WRAP PRM</v>
      </c>
      <c r="J2" s="183" t="str">
        <f>'Scenario List'!$A$9</f>
        <v>7- WRAP PRM No QCC Changes</v>
      </c>
      <c r="K2" s="183" t="str">
        <f>'Scenario List'!$A$10</f>
        <v>8- VERs Assigned to Washington</v>
      </c>
      <c r="L2" s="183" t="str">
        <f>'Scenario List'!$A$11</f>
        <v>9- Low Economic Growth Loads</v>
      </c>
      <c r="M2" s="183" t="str">
        <f>'Scenario List'!$A$12</f>
        <v>10- High Economic Growth Loads</v>
      </c>
      <c r="N2" s="183" t="str">
        <f>'Scenario List'!$A$13</f>
        <v>11- High Electric Vehicle Growth</v>
      </c>
      <c r="O2" s="183" t="str">
        <f>'Scenario List'!$A$14</f>
        <v>12- WA Space/ Water Electrification</v>
      </c>
      <c r="P2" s="183" t="str">
        <f>'Scenario List'!$A$15</f>
        <v>13- WA Space/ Water Electrification w/NG Backup</v>
      </c>
      <c r="Q2" s="183" t="str">
        <f>'Scenario List'!$A$16</f>
        <v>14- Combined Electrification</v>
      </c>
      <c r="R2" s="183" t="str">
        <f>'Scenario List'!$A$17</f>
        <v>15- Clean Portfolio by 2045</v>
      </c>
      <c r="S2" s="183" t="str">
        <f>'Scenario List'!$A$18</f>
        <v>16- Social Cost Included for Idaho</v>
      </c>
      <c r="T2" s="183" t="str">
        <f>'Scenario List'!$A$19</f>
        <v>17- WA Maximum Customer Benefits</v>
      </c>
      <c r="U2" s="183" t="str">
        <f>'Scenario List'!$A$20</f>
        <v>18- National GHG Pricing</v>
      </c>
      <c r="W2" s="129" t="str">
        <f>E2</f>
        <v>2- Alternative Lowest Reasonable Cost Portfolio</v>
      </c>
      <c r="X2" s="129" t="str">
        <f t="shared" ref="X2:AI2" si="0">F2</f>
        <v>3- Baseline Portfolio</v>
      </c>
      <c r="Y2" s="129" t="str">
        <f t="shared" si="0"/>
        <v>4- No Resource Additions</v>
      </c>
      <c r="Z2" s="129" t="str">
        <f t="shared" si="0"/>
        <v>5- No CETA/ No new NG</v>
      </c>
      <c r="AA2" s="129" t="str">
        <f t="shared" si="0"/>
        <v>6- WRAP PRM</v>
      </c>
      <c r="AB2" s="129" t="str">
        <f t="shared" si="0"/>
        <v>7- WRAP PRM No QCC Changes</v>
      </c>
      <c r="AC2" s="129" t="str">
        <f t="shared" si="0"/>
        <v>8- VERs Assigned to Washington</v>
      </c>
      <c r="AD2" s="129" t="str">
        <f t="shared" si="0"/>
        <v>9- Low Economic Growth Loads</v>
      </c>
      <c r="AE2" s="129" t="str">
        <f t="shared" si="0"/>
        <v>10- High Economic Growth Loads</v>
      </c>
      <c r="AF2" s="129" t="str">
        <f t="shared" si="0"/>
        <v>11- High Electric Vehicle Growth</v>
      </c>
      <c r="AG2" s="129" t="str">
        <f t="shared" si="0"/>
        <v>12- WA Space/ Water Electrification</v>
      </c>
      <c r="AH2" s="129" t="str">
        <f t="shared" si="0"/>
        <v>13- WA Space/ Water Electrification w/NG Backup</v>
      </c>
      <c r="AI2" s="129" t="str">
        <f t="shared" si="0"/>
        <v>14- Combined Electrification</v>
      </c>
      <c r="AJ2" s="129" t="str">
        <f t="shared" ref="AJ2" si="1">R2</f>
        <v>15- Clean Portfolio by 2045</v>
      </c>
      <c r="AK2" s="129" t="str">
        <f t="shared" ref="AK2:AM2" si="2">S2</f>
        <v>16- Social Cost Included for Idaho</v>
      </c>
      <c r="AL2" s="129" t="str">
        <f t="shared" si="2"/>
        <v>17- WA Maximum Customer Benefits</v>
      </c>
      <c r="AM2" s="129" t="str">
        <f t="shared" si="2"/>
        <v>18- National GHG Pricing</v>
      </c>
    </row>
    <row r="3" spans="1:39" x14ac:dyDescent="0.2">
      <c r="A3" s="189">
        <v>0.64400000000000002</v>
      </c>
      <c r="C3" s="178" t="s">
        <v>9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spans="1:39" x14ac:dyDescent="0.2">
      <c r="C4" s="179" t="s">
        <v>12</v>
      </c>
      <c r="D4" s="181">
        <f>'Summary Resources'!AB16+('Summary Resources'!AB4*$A$3)</f>
        <v>0</v>
      </c>
      <c r="E4" s="181">
        <f>'Summary Resources'!AB64+('Summary Resources'!AB52*$A$3)</f>
        <v>247.34428014333844</v>
      </c>
      <c r="F4" s="182">
        <f>'Summary Resources'!AB112+('Summary Resources'!AB100*$A$3)</f>
        <v>430.94691741855956</v>
      </c>
      <c r="G4" s="182">
        <f>'Summary Resources'!AB160+('Summary Resources'!AB148*$A$3)</f>
        <v>0</v>
      </c>
      <c r="H4" s="182">
        <f>'Summary Resources'!AB209+('Summary Resources'!AB197*'Resource Table'!$A$3)</f>
        <v>0</v>
      </c>
      <c r="I4" s="182">
        <f>'Summary Resources'!AB258+('Summary Resources'!AB246*$A$3)</f>
        <v>0</v>
      </c>
      <c r="J4" s="182">
        <f>'Summary Resources'!AB307+('Summary Resources'!AB295*$A$3)</f>
        <v>0</v>
      </c>
      <c r="K4" s="182">
        <f>'Summary Resources'!AB356+('Summary Resources'!AB344*$A$3)</f>
        <v>0</v>
      </c>
      <c r="L4" s="182">
        <f>'Summary Resources'!AB405+('Summary Resources'!AB393*$A$3)</f>
        <v>0</v>
      </c>
      <c r="M4" s="182">
        <f>'Summary Resources'!AB454+('Summary Resources'!AB442*$A$3)</f>
        <v>0</v>
      </c>
      <c r="N4" s="182">
        <f>'Summary Resources'!AB503+('Summary Resources'!AB491*$A$3)</f>
        <v>0</v>
      </c>
      <c r="O4" s="182">
        <f>'Summary Resources'!AB552+('Summary Resources'!AB540*$A$3)</f>
        <v>0</v>
      </c>
      <c r="P4" s="182">
        <f>'Summary Resources'!AB601+('Summary Resources'!AB589*$A$3)</f>
        <v>0</v>
      </c>
      <c r="Q4" s="182">
        <f>'Summary Resources'!AB650+('Summary Resources'!AB638*$A$3)</f>
        <v>0</v>
      </c>
      <c r="R4" s="182">
        <f>'Summary Resources'!AB699+('Summary Resources'!AB687*$A$3)</f>
        <v>0</v>
      </c>
      <c r="S4" s="182">
        <f>'Summary Resources'!AB748+('Summary Resources'!AB736*$A$3)</f>
        <v>0</v>
      </c>
      <c r="T4" s="182">
        <f>'Summary Resources'!AB797+('Summary Resources'!AB785*$A$3)</f>
        <v>0</v>
      </c>
      <c r="U4" s="182">
        <f>'Summary Resources'!AB846+('Summary Resources'!AB834*$A$3)</f>
        <v>0</v>
      </c>
      <c r="W4" s="133">
        <f>E4-$D4</f>
        <v>247.34428014333844</v>
      </c>
      <c r="X4" s="133">
        <f t="shared" ref="X4:X27" si="3">F4-$D4</f>
        <v>430.94691741855956</v>
      </c>
      <c r="Y4" s="133">
        <f t="shared" ref="Y4:Y27" si="4">G4-$D4</f>
        <v>0</v>
      </c>
      <c r="Z4" s="133">
        <f t="shared" ref="Z4:Z27" si="5">H4-$D4</f>
        <v>0</v>
      </c>
      <c r="AA4" s="133">
        <f t="shared" ref="AA4:AA27" si="6">I4-$D4</f>
        <v>0</v>
      </c>
      <c r="AB4" s="133">
        <f t="shared" ref="AB4:AB27" si="7">J4-$D4</f>
        <v>0</v>
      </c>
      <c r="AC4" s="133">
        <f t="shared" ref="AC4:AC27" si="8">K4-$D4</f>
        <v>0</v>
      </c>
      <c r="AD4" s="133">
        <f t="shared" ref="AD4:AD27" si="9">L4-$D4</f>
        <v>0</v>
      </c>
      <c r="AE4" s="133">
        <f t="shared" ref="AE4:AE27" si="10">M4-$D4</f>
        <v>0</v>
      </c>
      <c r="AF4" s="133">
        <f t="shared" ref="AF4:AF27" si="11">N4-$D4</f>
        <v>0</v>
      </c>
      <c r="AG4" s="133">
        <f t="shared" ref="AG4:AG27" si="12">O4-$D4</f>
        <v>0</v>
      </c>
      <c r="AH4" s="133">
        <f t="shared" ref="AH4:AH27" si="13">P4-$D4</f>
        <v>0</v>
      </c>
      <c r="AI4" s="133">
        <f t="shared" ref="AI4:AI27" si="14">Q4-$D4</f>
        <v>0</v>
      </c>
      <c r="AJ4" s="133">
        <f t="shared" ref="AJ4:AJ27" si="15">R4-$D4</f>
        <v>0</v>
      </c>
      <c r="AK4" s="133">
        <f t="shared" ref="AK4:AM27" si="16">S4-$D4</f>
        <v>0</v>
      </c>
      <c r="AL4" s="133">
        <f t="shared" si="16"/>
        <v>0</v>
      </c>
      <c r="AM4" s="133">
        <f t="shared" si="16"/>
        <v>0</v>
      </c>
    </row>
    <row r="5" spans="1:39" x14ac:dyDescent="0.2">
      <c r="C5" s="179" t="s">
        <v>13</v>
      </c>
      <c r="D5" s="181">
        <f>'Summary Resources'!AB17+('Summary Resources'!AB5*$A$3)</f>
        <v>9.718348238575885</v>
      </c>
      <c r="E5" s="181">
        <f>'Summary Resources'!AB65+('Summary Resources'!AB53*$A$3)</f>
        <v>50.830115827174126</v>
      </c>
      <c r="F5" s="182">
        <f>'Summary Resources'!AB113+('Summary Resources'!AB101*$A$3)</f>
        <v>0</v>
      </c>
      <c r="G5" s="182">
        <f>'Summary Resources'!AB161+('Summary Resources'!AB149*$A$3)</f>
        <v>0</v>
      </c>
      <c r="H5" s="182">
        <f>'Summary Resources'!AB210+('Summary Resources'!AB198*'Resource Table'!$A$3)</f>
        <v>0</v>
      </c>
      <c r="I5" s="182">
        <f>'Summary Resources'!AB259+('Summary Resources'!AB247*$A$3)</f>
        <v>10.647006043046989</v>
      </c>
      <c r="J5" s="182">
        <f>'Summary Resources'!AB308+('Summary Resources'!AB296*$A$3)</f>
        <v>10.557355662582422</v>
      </c>
      <c r="K5" s="182">
        <f>'Summary Resources'!AB357+('Summary Resources'!AB345*$A$3)</f>
        <v>10.998041250260536</v>
      </c>
      <c r="L5" s="182">
        <f>'Summary Resources'!AB406+('Summary Resources'!AB394*$A$3)</f>
        <v>9.9153569656035714</v>
      </c>
      <c r="M5" s="182">
        <f>'Summary Resources'!AB455+('Summary Resources'!AB443*$A$3)</f>
        <v>10.830231976441555</v>
      </c>
      <c r="N5" s="182">
        <f>'Summary Resources'!AB504+('Summary Resources'!AB492*$A$3)</f>
        <v>96.569865954154182</v>
      </c>
      <c r="O5" s="182">
        <f>'Summary Resources'!AB553+('Summary Resources'!AB541*$A$3)</f>
        <v>11.358923745972557</v>
      </c>
      <c r="P5" s="182">
        <f>'Summary Resources'!AB602+('Summary Resources'!AB590*$A$3)</f>
        <v>161.0081208710061</v>
      </c>
      <c r="Q5" s="182">
        <f>'Summary Resources'!AB651+('Summary Resources'!AB639*$A$3)</f>
        <v>11.08826121347008</v>
      </c>
      <c r="R5" s="182">
        <f>'Summary Resources'!AB700+('Summary Resources'!AB688*$A$3)</f>
        <v>9.8941581155453253</v>
      </c>
      <c r="S5" s="182">
        <f>'Summary Resources'!AB749+('Summary Resources'!AB737*$A$3)</f>
        <v>83.587621550517639</v>
      </c>
      <c r="T5" s="182">
        <f>'Summary Resources'!AB798+('Summary Resources'!AB786*$A$3)</f>
        <v>826.55725071377162</v>
      </c>
      <c r="U5" s="182">
        <f>'Summary Resources'!AB847+('Summary Resources'!AB835*$A$3)</f>
        <v>9.9743072601517042</v>
      </c>
      <c r="W5" s="133">
        <f t="shared" ref="W5:W27" si="17">E5-$D5</f>
        <v>41.111767588598241</v>
      </c>
      <c r="X5" s="133">
        <f t="shared" si="3"/>
        <v>-9.718348238575885</v>
      </c>
      <c r="Y5" s="133">
        <f t="shared" si="4"/>
        <v>-9.718348238575885</v>
      </c>
      <c r="Z5" s="133">
        <f t="shared" si="5"/>
        <v>-9.718348238575885</v>
      </c>
      <c r="AA5" s="133">
        <f t="shared" si="6"/>
        <v>0.92865780447110424</v>
      </c>
      <c r="AB5" s="133">
        <f t="shared" si="7"/>
        <v>0.83900742400653705</v>
      </c>
      <c r="AC5" s="133">
        <f t="shared" si="8"/>
        <v>1.2796930116846514</v>
      </c>
      <c r="AD5" s="133">
        <f t="shared" si="9"/>
        <v>0.19700872702768635</v>
      </c>
      <c r="AE5" s="133">
        <f t="shared" si="10"/>
        <v>1.1118837378656696</v>
      </c>
      <c r="AF5" s="133">
        <f t="shared" si="11"/>
        <v>86.851517715578296</v>
      </c>
      <c r="AG5" s="133">
        <f t="shared" si="12"/>
        <v>1.6405755073966724</v>
      </c>
      <c r="AH5" s="133">
        <f t="shared" si="13"/>
        <v>151.28977263243021</v>
      </c>
      <c r="AI5" s="133">
        <f t="shared" si="14"/>
        <v>1.3699129748941949</v>
      </c>
      <c r="AJ5" s="133">
        <f t="shared" si="15"/>
        <v>0.17580987696944028</v>
      </c>
      <c r="AK5" s="133">
        <f t="shared" si="16"/>
        <v>73.869273311941754</v>
      </c>
      <c r="AL5" s="133">
        <f t="shared" si="16"/>
        <v>816.83890247519571</v>
      </c>
      <c r="AM5" s="133">
        <f t="shared" si="16"/>
        <v>0.25595902157581918</v>
      </c>
    </row>
    <row r="6" spans="1:39" x14ac:dyDescent="0.2">
      <c r="C6" s="179" t="s">
        <v>14</v>
      </c>
      <c r="D6" s="181">
        <f>'Summary Resources'!AB18+('Summary Resources'!AB6*$A$3)</f>
        <v>0.31806041052529266</v>
      </c>
      <c r="E6" s="181">
        <f>'Summary Resources'!AB66+('Summary Resources'!AB54*$A$3)</f>
        <v>25.415057913587063</v>
      </c>
      <c r="F6" s="182">
        <f>'Summary Resources'!AB114+('Summary Resources'!AB102*$A$3)</f>
        <v>0</v>
      </c>
      <c r="G6" s="182">
        <f>'Summary Resources'!AB162+('Summary Resources'!AB150*$A$3)</f>
        <v>0</v>
      </c>
      <c r="H6" s="182">
        <f>'Summary Resources'!AB211+('Summary Resources'!AB199*'Resource Table'!$A$3)</f>
        <v>0</v>
      </c>
      <c r="I6" s="182">
        <f>'Summary Resources'!AB260+('Summary Resources'!AB248*$A$3)</f>
        <v>0.52773441077192884</v>
      </c>
      <c r="J6" s="182">
        <f>'Summary Resources'!AB309+('Summary Resources'!AB297*$A$3)</f>
        <v>0</v>
      </c>
      <c r="K6" s="182">
        <f>'Summary Resources'!AB358+('Summary Resources'!AB346*$A$3)</f>
        <v>0.42469570864100287</v>
      </c>
      <c r="L6" s="182">
        <f>'Summary Resources'!AB407+('Summary Resources'!AB395*$A$3)</f>
        <v>0.75134093965178472</v>
      </c>
      <c r="M6" s="182">
        <f>'Summary Resources'!AB456+('Summary Resources'!AB444*$A$3)</f>
        <v>0.62455502105531058</v>
      </c>
      <c r="N6" s="182">
        <f>'Summary Resources'!AB505+('Summary Resources'!AB493*$A$3)</f>
        <v>0</v>
      </c>
      <c r="O6" s="182">
        <f>'Summary Resources'!AB554+('Summary Resources'!AB542*$A$3)</f>
        <v>0.20092652270470104</v>
      </c>
      <c r="P6" s="182">
        <f>'Summary Resources'!AB603+('Summary Resources'!AB591*$A$3)</f>
        <v>0.52461653810324282</v>
      </c>
      <c r="Q6" s="182">
        <f>'Summary Resources'!AB652+('Summary Resources'!AB640*$A$3)</f>
        <v>0.43243631495323065</v>
      </c>
      <c r="R6" s="182">
        <f>'Summary Resources'!AB701+('Summary Resources'!AB689*$A$3)</f>
        <v>0.62433741514453378</v>
      </c>
      <c r="S6" s="182">
        <f>'Summary Resources'!AB750+('Summary Resources'!AB738*$A$3)</f>
        <v>37.268400539347724</v>
      </c>
      <c r="T6" s="182">
        <f>'Summary Resources'!AB799+('Summary Resources'!AB787*$A$3)</f>
        <v>0.52101108877597879</v>
      </c>
      <c r="U6" s="182">
        <f>'Summary Resources'!AB848+('Summary Resources'!AB836*$A$3)</f>
        <v>0.10382300201334667</v>
      </c>
      <c r="W6" s="133">
        <f t="shared" si="17"/>
        <v>25.096997503061772</v>
      </c>
      <c r="X6" s="133">
        <f t="shared" si="3"/>
        <v>-0.31806041052529266</v>
      </c>
      <c r="Y6" s="133">
        <f t="shared" si="4"/>
        <v>-0.31806041052529266</v>
      </c>
      <c r="Z6" s="133">
        <f t="shared" si="5"/>
        <v>-0.31806041052529266</v>
      </c>
      <c r="AA6" s="133">
        <f t="shared" si="6"/>
        <v>0.20967400024663618</v>
      </c>
      <c r="AB6" s="133">
        <f t="shared" si="7"/>
        <v>-0.31806041052529266</v>
      </c>
      <c r="AC6" s="133">
        <f t="shared" si="8"/>
        <v>0.10663529811571021</v>
      </c>
      <c r="AD6" s="133">
        <f t="shared" si="9"/>
        <v>0.43328052912649206</v>
      </c>
      <c r="AE6" s="133">
        <f t="shared" si="10"/>
        <v>0.30649461053001792</v>
      </c>
      <c r="AF6" s="133">
        <f t="shared" si="11"/>
        <v>-0.31806041052529266</v>
      </c>
      <c r="AG6" s="133">
        <f t="shared" si="12"/>
        <v>-0.11713388782059161</v>
      </c>
      <c r="AH6" s="133">
        <f t="shared" si="13"/>
        <v>0.20655612757795017</v>
      </c>
      <c r="AI6" s="133">
        <f t="shared" si="14"/>
        <v>0.11437590442793799</v>
      </c>
      <c r="AJ6" s="133">
        <f t="shared" si="15"/>
        <v>0.30627700461924112</v>
      </c>
      <c r="AK6" s="133">
        <f t="shared" si="16"/>
        <v>36.950340128822432</v>
      </c>
      <c r="AL6" s="133">
        <f t="shared" si="16"/>
        <v>0.20295067825068613</v>
      </c>
      <c r="AM6" s="133">
        <f t="shared" si="16"/>
        <v>-0.214237408511946</v>
      </c>
    </row>
    <row r="7" spans="1:39" x14ac:dyDescent="0.2">
      <c r="C7" s="179" t="s">
        <v>15</v>
      </c>
      <c r="D7" s="181">
        <f>'Summary Resources'!AB19+('Summary Resources'!AB7*$A$3)</f>
        <v>944.71812048604238</v>
      </c>
      <c r="E7" s="181">
        <f>'Summary Resources'!AB67+('Summary Resources'!AB55*$A$3)</f>
        <v>842.5764554092666</v>
      </c>
      <c r="F7" s="182">
        <f>'Summary Resources'!AB115+('Summary Resources'!AB103*$A$3)</f>
        <v>364.4</v>
      </c>
      <c r="G7" s="182">
        <f>'Summary Resources'!AB163+('Summary Resources'!AB151*$A$3)</f>
        <v>0</v>
      </c>
      <c r="H7" s="182">
        <f>'Summary Resources'!AB212+('Summary Resources'!AB200*'Resource Table'!$A$3)</f>
        <v>400</v>
      </c>
      <c r="I7" s="182">
        <f>'Summary Resources'!AB261+('Summary Resources'!AB249*$A$3)</f>
        <v>1028.4262672194759</v>
      </c>
      <c r="J7" s="182">
        <f>'Summary Resources'!AB310+('Summary Resources'!AB298*$A$3)</f>
        <v>1145</v>
      </c>
      <c r="K7" s="182">
        <f>'Summary Resources'!AB359+('Summary Resources'!AB347*$A$3)</f>
        <v>845</v>
      </c>
      <c r="L7" s="182">
        <f>'Summary Resources'!AB408+('Summary Resources'!AB396*$A$3)</f>
        <v>905</v>
      </c>
      <c r="M7" s="182">
        <f>'Summary Resources'!AB457+('Summary Resources'!AB445*$A$3)</f>
        <v>1045</v>
      </c>
      <c r="N7" s="182">
        <f>'Summary Resources'!AB506+('Summary Resources'!AB494*$A$3)</f>
        <v>1244.8942129264497</v>
      </c>
      <c r="O7" s="182">
        <f>'Summary Resources'!AB555+('Summary Resources'!AB543*$A$3)</f>
        <v>1545</v>
      </c>
      <c r="P7" s="182">
        <f>'Summary Resources'!AB604+('Summary Resources'!AB592*$A$3)</f>
        <v>1345</v>
      </c>
      <c r="Q7" s="182">
        <f>'Summary Resources'!AB653+('Summary Resources'!AB641*$A$3)</f>
        <v>1545</v>
      </c>
      <c r="R7" s="182">
        <f>'Summary Resources'!AB702+('Summary Resources'!AB690*$A$3)</f>
        <v>1009.4000000000001</v>
      </c>
      <c r="S7" s="182">
        <f>'Summary Resources'!AB751+('Summary Resources'!AB739*$A$3)</f>
        <v>905</v>
      </c>
      <c r="T7" s="182">
        <f>'Summary Resources'!AB800+('Summary Resources'!AB788*$A$3)</f>
        <v>845</v>
      </c>
      <c r="U7" s="182">
        <f>'Summary Resources'!AB849+('Summary Resources'!AB837*$A$3)</f>
        <v>1144.9999999999875</v>
      </c>
      <c r="W7" s="133">
        <f t="shared" si="17"/>
        <v>-102.14166507677578</v>
      </c>
      <c r="X7" s="133">
        <f t="shared" si="3"/>
        <v>-580.3181204860424</v>
      </c>
      <c r="Y7" s="133">
        <f t="shared" si="4"/>
        <v>-944.71812048604238</v>
      </c>
      <c r="Z7" s="133">
        <f t="shared" si="5"/>
        <v>-544.71812048604238</v>
      </c>
      <c r="AA7" s="133">
        <f t="shared" si="6"/>
        <v>83.708146733433523</v>
      </c>
      <c r="AB7" s="133">
        <f t="shared" si="7"/>
        <v>200.28187951395762</v>
      </c>
      <c r="AC7" s="133">
        <f t="shared" si="8"/>
        <v>-99.71812048604238</v>
      </c>
      <c r="AD7" s="133">
        <f t="shared" si="9"/>
        <v>-39.71812048604238</v>
      </c>
      <c r="AE7" s="133">
        <f t="shared" si="10"/>
        <v>100.28187951395762</v>
      </c>
      <c r="AF7" s="133">
        <f t="shared" si="11"/>
        <v>300.17609244040727</v>
      </c>
      <c r="AG7" s="133">
        <f t="shared" si="12"/>
        <v>600.28187951395762</v>
      </c>
      <c r="AH7" s="133">
        <f t="shared" si="13"/>
        <v>400.28187951395762</v>
      </c>
      <c r="AI7" s="133">
        <f t="shared" si="14"/>
        <v>600.28187951395762</v>
      </c>
      <c r="AJ7" s="133">
        <f t="shared" si="15"/>
        <v>64.681879513957711</v>
      </c>
      <c r="AK7" s="133">
        <f t="shared" si="16"/>
        <v>-39.71812048604238</v>
      </c>
      <c r="AL7" s="133">
        <f t="shared" si="16"/>
        <v>-99.71812048604238</v>
      </c>
      <c r="AM7" s="133">
        <f t="shared" si="16"/>
        <v>200.28187951394511</v>
      </c>
    </row>
    <row r="8" spans="1:39" x14ac:dyDescent="0.2">
      <c r="C8" s="179" t="s">
        <v>16</v>
      </c>
      <c r="D8" s="181">
        <f>'Summary Resources'!AB20+('Summary Resources'!AB8*$A$3)</f>
        <v>129.9679886974294</v>
      </c>
      <c r="E8" s="181">
        <f>'Summary Resources'!AB68+('Summary Resources'!AB56*$A$3)</f>
        <v>493.62947821560283</v>
      </c>
      <c r="F8" s="182">
        <f>'Summary Resources'!AB116+('Summary Resources'!AB104*$A$3)</f>
        <v>264.61408986323005</v>
      </c>
      <c r="G8" s="182">
        <f>'Summary Resources'!AB164+('Summary Resources'!AB152*$A$3)</f>
        <v>0</v>
      </c>
      <c r="H8" s="182">
        <f>'Summary Resources'!AB213+('Summary Resources'!AB201*'Resource Table'!$A$3)</f>
        <v>795.01199999999994</v>
      </c>
      <c r="I8" s="182">
        <f>'Summary Resources'!AB262+('Summary Resources'!AB250*$A$3)</f>
        <v>364.96121782431823</v>
      </c>
      <c r="J8" s="182">
        <f>'Summary Resources'!AB311+('Summary Resources'!AB299*$A$3)</f>
        <v>454.3232754459334</v>
      </c>
      <c r="K8" s="182">
        <f>'Summary Resources'!AB360+('Summary Resources'!AB348*$A$3)</f>
        <v>125.27812479519034</v>
      </c>
      <c r="L8" s="182">
        <f>'Summary Resources'!AB409+('Summary Resources'!AB397*$A$3)</f>
        <v>298.23662738218462</v>
      </c>
      <c r="M8" s="182">
        <f>'Summary Resources'!AB458+('Summary Resources'!AB446*$A$3)</f>
        <v>209.23092536161198</v>
      </c>
      <c r="N8" s="182">
        <f>'Summary Resources'!AB507+('Summary Resources'!AB495*$A$3)</f>
        <v>491.83105047883964</v>
      </c>
      <c r="O8" s="182">
        <f>'Summary Resources'!AB556+('Summary Resources'!AB544*$A$3)</f>
        <v>935.00332699892169</v>
      </c>
      <c r="P8" s="182">
        <f>'Summary Resources'!AB605+('Summary Resources'!AB593*$A$3)</f>
        <v>569.16531611397829</v>
      </c>
      <c r="Q8" s="182">
        <f>'Summary Resources'!AB654+('Summary Resources'!AB642*$A$3)</f>
        <v>1231.0406224247486</v>
      </c>
      <c r="R8" s="182">
        <f>'Summary Resources'!AB703+('Summary Resources'!AB691*$A$3)</f>
        <v>90.957711463420338</v>
      </c>
      <c r="S8" s="182">
        <f>'Summary Resources'!AB752+('Summary Resources'!AB740*$A$3)</f>
        <v>122.90044999905658</v>
      </c>
      <c r="T8" s="182">
        <f>'Summary Resources'!AB801+('Summary Resources'!AB789*$A$3)</f>
        <v>590.6680300683322</v>
      </c>
      <c r="U8" s="182">
        <f>'Summary Resources'!AB850+('Summary Resources'!AB838*$A$3)</f>
        <v>469.07714220428988</v>
      </c>
      <c r="W8" s="133">
        <f>E8-$D8</f>
        <v>363.66148951817343</v>
      </c>
      <c r="X8" s="133">
        <f t="shared" si="3"/>
        <v>134.64610116580064</v>
      </c>
      <c r="Y8" s="133">
        <f t="shared" si="4"/>
        <v>-129.9679886974294</v>
      </c>
      <c r="Z8" s="133">
        <f t="shared" si="5"/>
        <v>665.04401130257054</v>
      </c>
      <c r="AA8" s="133">
        <f t="shared" si="6"/>
        <v>234.99322912688882</v>
      </c>
      <c r="AB8" s="133">
        <f t="shared" si="7"/>
        <v>324.355286748504</v>
      </c>
      <c r="AC8" s="133">
        <f t="shared" si="8"/>
        <v>-4.6898639022390682</v>
      </c>
      <c r="AD8" s="133">
        <f t="shared" si="9"/>
        <v>168.26863868475522</v>
      </c>
      <c r="AE8" s="133">
        <f t="shared" si="10"/>
        <v>79.262936664182575</v>
      </c>
      <c r="AF8" s="133">
        <f t="shared" si="11"/>
        <v>361.86306178141024</v>
      </c>
      <c r="AG8" s="133">
        <f t="shared" si="12"/>
        <v>805.03533830149229</v>
      </c>
      <c r="AH8" s="133">
        <f t="shared" si="13"/>
        <v>439.19732741654889</v>
      </c>
      <c r="AI8" s="133">
        <f t="shared" si="14"/>
        <v>1101.072633727319</v>
      </c>
      <c r="AJ8" s="133">
        <f t="shared" si="15"/>
        <v>-39.010277234009067</v>
      </c>
      <c r="AK8" s="133">
        <f t="shared" si="16"/>
        <v>-7.0675386983728288</v>
      </c>
      <c r="AL8" s="133">
        <f t="shared" si="16"/>
        <v>460.7000413709028</v>
      </c>
      <c r="AM8" s="133">
        <f t="shared" si="16"/>
        <v>339.10915350686048</v>
      </c>
    </row>
    <row r="9" spans="1:39" x14ac:dyDescent="0.2">
      <c r="C9" s="179" t="s">
        <v>85</v>
      </c>
      <c r="D9" s="181">
        <f>'Summary Resources'!AB21+('Summary Resources'!AB9*$A$3)</f>
        <v>696.48677529716929</v>
      </c>
      <c r="E9" s="181">
        <f>'Summary Resources'!AB69+('Summary Resources'!AB57*$A$3)</f>
        <v>88.43012105271147</v>
      </c>
      <c r="F9" s="182">
        <f>'Summary Resources'!AB117+('Summary Resources'!AB105*$A$3)</f>
        <v>0</v>
      </c>
      <c r="G9" s="182">
        <f>'Summary Resources'!AB165+('Summary Resources'!AB153*$A$3)</f>
        <v>0</v>
      </c>
      <c r="H9" s="182">
        <f>'Summary Resources'!AB214+('Summary Resources'!AB202*'Resource Table'!$A$3)</f>
        <v>79</v>
      </c>
      <c r="I9" s="182">
        <f>'Summary Resources'!AB263+('Summary Resources'!AB251*$A$3)</f>
        <v>577.97087105419018</v>
      </c>
      <c r="J9" s="182">
        <f>'Summary Resources'!AB312+('Summary Resources'!AB300*$A$3)</f>
        <v>311.5243103810534</v>
      </c>
      <c r="K9" s="182">
        <f>'Summary Resources'!AB361+('Summary Resources'!AB349*$A$3)</f>
        <v>682.03717316402117</v>
      </c>
      <c r="L9" s="182">
        <f>'Summary Resources'!AB410+('Summary Resources'!AB398*$A$3)</f>
        <v>366.09455306562563</v>
      </c>
      <c r="M9" s="182">
        <f>'Summary Resources'!AB459+('Summary Resources'!AB447*$A$3)</f>
        <v>645.88047604975145</v>
      </c>
      <c r="N9" s="182">
        <f>'Summary Resources'!AB508+('Summary Resources'!AB496*$A$3)</f>
        <v>706.54300803298361</v>
      </c>
      <c r="O9" s="182">
        <f>'Summary Resources'!AB557+('Summary Resources'!AB545*$A$3)</f>
        <v>890.25484850304633</v>
      </c>
      <c r="P9" s="182">
        <f>'Summary Resources'!AB606+('Summary Resources'!AB594*$A$3)</f>
        <v>767.15408111868544</v>
      </c>
      <c r="Q9" s="182">
        <f>'Summary Resources'!AB655+('Summary Resources'!AB643*$A$3)</f>
        <v>712.21210583350967</v>
      </c>
      <c r="R9" s="182">
        <f>'Summary Resources'!AB704+('Summary Resources'!AB692*$A$3)</f>
        <v>704.48427592245525</v>
      </c>
      <c r="S9" s="182">
        <f>'Summary Resources'!AB753+('Summary Resources'!AB741*$A$3)</f>
        <v>682.20396431351321</v>
      </c>
      <c r="T9" s="182">
        <f>'Summary Resources'!AB802+('Summary Resources'!AB790*$A$3)</f>
        <v>227.62911881266649</v>
      </c>
      <c r="U9" s="182">
        <f>'Summary Resources'!AB851+('Summary Resources'!AB839*$A$3)</f>
        <v>318.23749304642388</v>
      </c>
      <c r="W9" s="133">
        <f>E9-$D9</f>
        <v>-608.05665424445783</v>
      </c>
      <c r="X9" s="133">
        <f t="shared" si="3"/>
        <v>-696.48677529716929</v>
      </c>
      <c r="Y9" s="133">
        <f t="shared" si="4"/>
        <v>-696.48677529716929</v>
      </c>
      <c r="Z9" s="133">
        <f>H9-$D9</f>
        <v>-617.48677529716929</v>
      </c>
      <c r="AA9" s="133">
        <f t="shared" si="6"/>
        <v>-118.5159042429791</v>
      </c>
      <c r="AB9" s="133">
        <f t="shared" si="7"/>
        <v>-384.96246491611589</v>
      </c>
      <c r="AC9" s="133">
        <f t="shared" si="8"/>
        <v>-14.449602133148119</v>
      </c>
      <c r="AD9" s="133">
        <f t="shared" si="9"/>
        <v>-330.39222223154366</v>
      </c>
      <c r="AE9" s="133">
        <f t="shared" si="10"/>
        <v>-50.606299247417837</v>
      </c>
      <c r="AF9" s="133">
        <f t="shared" si="11"/>
        <v>10.056232735814319</v>
      </c>
      <c r="AG9" s="133">
        <f t="shared" si="12"/>
        <v>193.76807320587704</v>
      </c>
      <c r="AH9" s="133">
        <f t="shared" si="13"/>
        <v>70.667305821516152</v>
      </c>
      <c r="AI9" s="133">
        <f t="shared" si="14"/>
        <v>15.72533053634038</v>
      </c>
      <c r="AJ9" s="133">
        <f t="shared" si="15"/>
        <v>7.9975006252859657</v>
      </c>
      <c r="AK9" s="133">
        <f t="shared" si="16"/>
        <v>-14.282810983656077</v>
      </c>
      <c r="AL9" s="133">
        <f t="shared" si="16"/>
        <v>-468.8576564845028</v>
      </c>
      <c r="AM9" s="133">
        <f t="shared" si="16"/>
        <v>-378.24928225074541</v>
      </c>
    </row>
    <row r="10" spans="1:39" x14ac:dyDescent="0.2">
      <c r="C10" s="179" t="s">
        <v>86</v>
      </c>
      <c r="D10" s="181">
        <f>'Summary Resources'!AB22+('Summary Resources'!AB10*$A$3)</f>
        <v>0</v>
      </c>
      <c r="E10" s="181">
        <f>'Summary Resources'!AB70+('Summary Resources'!AB58*$A$3)</f>
        <v>0</v>
      </c>
      <c r="F10" s="182">
        <f>'Summary Resources'!AB118+('Summary Resources'!AB106*$A$3)</f>
        <v>0</v>
      </c>
      <c r="G10" s="182">
        <f>'Summary Resources'!AB166+('Summary Resources'!AB154*$A$3)</f>
        <v>0</v>
      </c>
      <c r="H10" s="182">
        <f>'Summary Resources'!AB215+('Summary Resources'!AB203*'Resource Table'!$A$3)</f>
        <v>0</v>
      </c>
      <c r="I10" s="182">
        <f>'Summary Resources'!AB264+('Summary Resources'!AB252*$A$3)</f>
        <v>20</v>
      </c>
      <c r="J10" s="182">
        <f>'Summary Resources'!AB313+('Summary Resources'!AB301*$A$3)</f>
        <v>77.599999999999994</v>
      </c>
      <c r="K10" s="182">
        <f>'Summary Resources'!AB362+('Summary Resources'!AB350*$A$3)</f>
        <v>20</v>
      </c>
      <c r="L10" s="182">
        <f>'Summary Resources'!AB411+('Summary Resources'!AB399*$A$3)</f>
        <v>97.6</v>
      </c>
      <c r="M10" s="182">
        <f>'Summary Resources'!AB460+('Summary Resources'!AB448*$A$3)</f>
        <v>20</v>
      </c>
      <c r="N10" s="182">
        <f>'Summary Resources'!AB509+('Summary Resources'!AB497*$A$3)</f>
        <v>97.6</v>
      </c>
      <c r="O10" s="182">
        <f>'Summary Resources'!AB558+('Summary Resources'!AB546*$A$3)</f>
        <v>97.6</v>
      </c>
      <c r="P10" s="182">
        <f>'Summary Resources'!AB607+('Summary Resources'!AB595*$A$3)</f>
        <v>97.599999999999966</v>
      </c>
      <c r="Q10" s="182">
        <f>'Summary Resources'!AB656+('Summary Resources'!AB644*$A$3)</f>
        <v>446.9822913522471</v>
      </c>
      <c r="R10" s="182">
        <f>'Summary Resources'!AB705+('Summary Resources'!AB693*$A$3)</f>
        <v>32.880000000000003</v>
      </c>
      <c r="S10" s="182">
        <f>'Summary Resources'!AB754+('Summary Resources'!AB742*$A$3)</f>
        <v>20</v>
      </c>
      <c r="T10" s="182">
        <f>'Summary Resources'!AB803+('Summary Resources'!AB791*$A$3)</f>
        <v>40</v>
      </c>
      <c r="U10" s="182">
        <f>'Summary Resources'!AB852+('Summary Resources'!AB840*$A$3)</f>
        <v>77.599999999999994</v>
      </c>
      <c r="W10" s="133">
        <f t="shared" si="17"/>
        <v>0</v>
      </c>
      <c r="X10" s="133">
        <f t="shared" si="3"/>
        <v>0</v>
      </c>
      <c r="Y10" s="133">
        <f t="shared" si="4"/>
        <v>0</v>
      </c>
      <c r="Z10" s="133">
        <f t="shared" si="5"/>
        <v>0</v>
      </c>
      <c r="AA10" s="133">
        <f t="shared" si="6"/>
        <v>20</v>
      </c>
      <c r="AB10" s="133">
        <f t="shared" si="7"/>
        <v>77.599999999999994</v>
      </c>
      <c r="AC10" s="133">
        <f t="shared" si="8"/>
        <v>20</v>
      </c>
      <c r="AD10" s="133">
        <f t="shared" si="9"/>
        <v>97.6</v>
      </c>
      <c r="AE10" s="133">
        <f t="shared" si="10"/>
        <v>20</v>
      </c>
      <c r="AF10" s="133">
        <f t="shared" si="11"/>
        <v>97.6</v>
      </c>
      <c r="AG10" s="133">
        <f t="shared" si="12"/>
        <v>97.6</v>
      </c>
      <c r="AH10" s="133">
        <f t="shared" si="13"/>
        <v>97.599999999999966</v>
      </c>
      <c r="AI10" s="133">
        <f t="shared" si="14"/>
        <v>446.9822913522471</v>
      </c>
      <c r="AJ10" s="133">
        <f t="shared" si="15"/>
        <v>32.880000000000003</v>
      </c>
      <c r="AK10" s="133">
        <f t="shared" si="16"/>
        <v>20</v>
      </c>
      <c r="AL10" s="133">
        <f t="shared" si="16"/>
        <v>40</v>
      </c>
      <c r="AM10" s="133">
        <f t="shared" si="16"/>
        <v>77.599999999999994</v>
      </c>
    </row>
    <row r="11" spans="1:39" x14ac:dyDescent="0.2">
      <c r="C11" s="179" t="s">
        <v>87</v>
      </c>
      <c r="D11" s="181">
        <f>'Summary Resources'!AB23+('Summary Resources'!AB11*$A$3)</f>
        <v>0</v>
      </c>
      <c r="E11" s="181">
        <f>'Summary Resources'!AB71+('Summary Resources'!AB59*$A$3)</f>
        <v>0</v>
      </c>
      <c r="F11" s="182">
        <f>'Summary Resources'!AB119+('Summary Resources'!AB107*$A$3)</f>
        <v>3.22</v>
      </c>
      <c r="G11" s="182">
        <f>'Summary Resources'!AB167+('Summary Resources'!AB155*$A$3)</f>
        <v>0</v>
      </c>
      <c r="H11" s="182">
        <f>'Summary Resources'!AB216+('Summary Resources'!AB204*'Resource Table'!$A$3)</f>
        <v>0</v>
      </c>
      <c r="I11" s="182">
        <f>'Summary Resources'!AB265+('Summary Resources'!AB253*$A$3)</f>
        <v>6.44</v>
      </c>
      <c r="J11" s="182">
        <f>'Summary Resources'!AB314+('Summary Resources'!AB302*$A$3)</f>
        <v>6.44</v>
      </c>
      <c r="K11" s="182">
        <f>'Summary Resources'!AB363+('Summary Resources'!AB351*$A$3)</f>
        <v>0</v>
      </c>
      <c r="L11" s="182">
        <f>'Summary Resources'!AB412+('Summary Resources'!AB400*$A$3)</f>
        <v>3.22</v>
      </c>
      <c r="M11" s="182">
        <f>'Summary Resources'!AB461+('Summary Resources'!AB449*$A$3)</f>
        <v>3.22</v>
      </c>
      <c r="N11" s="182">
        <f>'Summary Resources'!AB510+('Summary Resources'!AB498*$A$3)</f>
        <v>0</v>
      </c>
      <c r="O11" s="182">
        <f>'Summary Resources'!AB559+('Summary Resources'!AB547*$A$3)</f>
        <v>0</v>
      </c>
      <c r="P11" s="182">
        <f>'Summary Resources'!AB608+('Summary Resources'!AB596*$A$3)</f>
        <v>0</v>
      </c>
      <c r="Q11" s="182">
        <f>'Summary Resources'!AB657+('Summary Resources'!AB645*$A$3)</f>
        <v>3.22</v>
      </c>
      <c r="R11" s="182">
        <f>'Summary Resources'!AB706+('Summary Resources'!AB694*$A$3)</f>
        <v>0</v>
      </c>
      <c r="S11" s="182">
        <f>'Summary Resources'!AB755+('Summary Resources'!AB743*$A$3)</f>
        <v>0</v>
      </c>
      <c r="T11" s="182">
        <f>'Summary Resources'!AB804+('Summary Resources'!AB792*$A$3)</f>
        <v>3.22</v>
      </c>
      <c r="U11" s="182">
        <f>'Summary Resources'!AB853+('Summary Resources'!AB841*$A$3)</f>
        <v>3.22</v>
      </c>
      <c r="W11" s="133">
        <f t="shared" si="17"/>
        <v>0</v>
      </c>
      <c r="X11" s="133">
        <f t="shared" si="3"/>
        <v>3.22</v>
      </c>
      <c r="Y11" s="133">
        <f t="shared" si="4"/>
        <v>0</v>
      </c>
      <c r="Z11" s="133">
        <f t="shared" si="5"/>
        <v>0</v>
      </c>
      <c r="AA11" s="133">
        <f t="shared" si="6"/>
        <v>6.44</v>
      </c>
      <c r="AB11" s="133">
        <f t="shared" si="7"/>
        <v>6.44</v>
      </c>
      <c r="AC11" s="133">
        <f t="shared" si="8"/>
        <v>0</v>
      </c>
      <c r="AD11" s="133">
        <f t="shared" si="9"/>
        <v>3.22</v>
      </c>
      <c r="AE11" s="133">
        <f t="shared" si="10"/>
        <v>3.22</v>
      </c>
      <c r="AF11" s="133">
        <f t="shared" si="11"/>
        <v>0</v>
      </c>
      <c r="AG11" s="133">
        <f t="shared" si="12"/>
        <v>0</v>
      </c>
      <c r="AH11" s="133">
        <f t="shared" si="13"/>
        <v>0</v>
      </c>
      <c r="AI11" s="133">
        <f t="shared" si="14"/>
        <v>3.22</v>
      </c>
      <c r="AJ11" s="133">
        <f t="shared" si="15"/>
        <v>0</v>
      </c>
      <c r="AK11" s="133">
        <f t="shared" si="16"/>
        <v>0</v>
      </c>
      <c r="AL11" s="133">
        <f t="shared" si="16"/>
        <v>3.22</v>
      </c>
      <c r="AM11" s="133">
        <f t="shared" si="16"/>
        <v>3.22</v>
      </c>
    </row>
    <row r="12" spans="1:39" x14ac:dyDescent="0.2">
      <c r="C12" s="179" t="s">
        <v>17</v>
      </c>
      <c r="D12" s="181">
        <f>'Summary Resources'!AB24+('Summary Resources'!AB12*$A$3)</f>
        <v>6.7666466459931875</v>
      </c>
      <c r="E12" s="181">
        <f>'Summary Resources'!AB72+('Summary Resources'!AB60*$A$3)</f>
        <v>6.7666466459931875</v>
      </c>
      <c r="F12" s="182">
        <f>'Summary Resources'!AB120+('Summary Resources'!AB108*$A$3)</f>
        <v>6.7666466459931875</v>
      </c>
      <c r="G12" s="182">
        <f>'Summary Resources'!AB168+('Summary Resources'!AB156*$A$3)</f>
        <v>0</v>
      </c>
      <c r="H12" s="182">
        <f>'Summary Resources'!AB217+('Summary Resources'!AB205*'Resource Table'!$A$3)</f>
        <v>7</v>
      </c>
      <c r="I12" s="182">
        <f>'Summary Resources'!AB266+('Summary Resources'!AB254*$A$3)</f>
        <v>6.7666466459931875</v>
      </c>
      <c r="J12" s="182">
        <f>'Summary Resources'!AB315+('Summary Resources'!AB303*$A$3)</f>
        <v>6.7666466459931875</v>
      </c>
      <c r="K12" s="182">
        <f>'Summary Resources'!AB364+('Summary Resources'!AB352*$A$3)</f>
        <v>6.7666466459931875</v>
      </c>
      <c r="L12" s="182">
        <f>'Summary Resources'!AB413+('Summary Resources'!AB401*$A$3)</f>
        <v>6.7666466459931875</v>
      </c>
      <c r="M12" s="182">
        <f>'Summary Resources'!AB462+('Summary Resources'!AB450*$A$3)</f>
        <v>6.7666466459931875</v>
      </c>
      <c r="N12" s="182">
        <f>'Summary Resources'!AB511+('Summary Resources'!AB499*$A$3)</f>
        <v>6.7666466459931875</v>
      </c>
      <c r="O12" s="182">
        <f>'Summary Resources'!AB560+('Summary Resources'!AB548*$A$3)</f>
        <v>6.7666466459931875</v>
      </c>
      <c r="P12" s="182">
        <f>'Summary Resources'!AB609+('Summary Resources'!AB597*$A$3)</f>
        <v>6.7666466459931875</v>
      </c>
      <c r="Q12" s="182">
        <f>'Summary Resources'!AB658+('Summary Resources'!AB646*$A$3)</f>
        <v>6.7666466459931875</v>
      </c>
      <c r="R12" s="182">
        <f>'Summary Resources'!AB707+('Summary Resources'!AB695*$A$3)</f>
        <v>6.7666466459931875</v>
      </c>
      <c r="S12" s="182">
        <f>'Summary Resources'!AB756+('Summary Resources'!AB744*$A$3)</f>
        <v>6.7666466459931875</v>
      </c>
      <c r="T12" s="182">
        <f>'Summary Resources'!AB805+('Summary Resources'!AB793*$A$3)</f>
        <v>6.7666466459931875</v>
      </c>
      <c r="U12" s="182">
        <f>'Summary Resources'!AB854+('Summary Resources'!AB842*$A$3)</f>
        <v>6.7666466459931875</v>
      </c>
      <c r="W12" s="133">
        <f t="shared" si="17"/>
        <v>0</v>
      </c>
      <c r="X12" s="133">
        <f t="shared" si="3"/>
        <v>0</v>
      </c>
      <c r="Y12" s="133">
        <f t="shared" si="4"/>
        <v>-6.7666466459931875</v>
      </c>
      <c r="Z12" s="133">
        <f t="shared" si="5"/>
        <v>0.23335335400681245</v>
      </c>
      <c r="AA12" s="133">
        <f t="shared" si="6"/>
        <v>0</v>
      </c>
      <c r="AB12" s="133">
        <f t="shared" si="7"/>
        <v>0</v>
      </c>
      <c r="AC12" s="133">
        <f t="shared" si="8"/>
        <v>0</v>
      </c>
      <c r="AD12" s="133">
        <f t="shared" si="9"/>
        <v>0</v>
      </c>
      <c r="AE12" s="133">
        <f t="shared" si="10"/>
        <v>0</v>
      </c>
      <c r="AF12" s="133">
        <f t="shared" si="11"/>
        <v>0</v>
      </c>
      <c r="AG12" s="133">
        <f t="shared" si="12"/>
        <v>0</v>
      </c>
      <c r="AH12" s="133">
        <f t="shared" si="13"/>
        <v>0</v>
      </c>
      <c r="AI12" s="133">
        <f t="shared" si="14"/>
        <v>0</v>
      </c>
      <c r="AJ12" s="133">
        <f t="shared" si="15"/>
        <v>0</v>
      </c>
      <c r="AK12" s="133">
        <f t="shared" si="16"/>
        <v>0</v>
      </c>
      <c r="AL12" s="133">
        <f t="shared" si="16"/>
        <v>0</v>
      </c>
      <c r="AM12" s="133">
        <f t="shared" si="16"/>
        <v>0</v>
      </c>
    </row>
    <row r="13" spans="1:39" x14ac:dyDescent="0.2">
      <c r="C13" s="179" t="s">
        <v>18</v>
      </c>
      <c r="D13" s="181">
        <f>'Summary Resources'!AB25+('Summary Resources'!AB13*$A$3)</f>
        <v>56.613243595584777</v>
      </c>
      <c r="E13" s="181">
        <f>'Summary Resources'!AB73+('Summary Resources'!AB61*$A$3)</f>
        <v>56.866206006502615</v>
      </c>
      <c r="F13" s="182">
        <f>'Summary Resources'!AB121+('Summary Resources'!AB109*$A$3)</f>
        <v>56.613243595585004</v>
      </c>
      <c r="G13" s="182">
        <f>'Summary Resources'!AB169+('Summary Resources'!AB157*$A$3)</f>
        <v>56.613243595584777</v>
      </c>
      <c r="H13" s="182">
        <f>'Summary Resources'!AB218+('Summary Resources'!AB206*'Resource Table'!$A$3)</f>
        <v>55</v>
      </c>
      <c r="I13" s="182">
        <f>'Summary Resources'!AB267+('Summary Resources'!AB255*$A$3)</f>
        <v>56.732365338903634</v>
      </c>
      <c r="J13" s="182">
        <f>'Summary Resources'!AB316+('Summary Resources'!AB304*$A$3)</f>
        <v>56.54914510389397</v>
      </c>
      <c r="K13" s="182">
        <f>'Summary Resources'!AB365+('Summary Resources'!AB353*$A$3)</f>
        <v>56.544286039740456</v>
      </c>
      <c r="L13" s="182">
        <f>'Summary Resources'!AB414+('Summary Resources'!AB402*$A$3)</f>
        <v>56.613243595584777</v>
      </c>
      <c r="M13" s="182">
        <f>'Summary Resources'!AB463+('Summary Resources'!AB451*$A$3)</f>
        <v>56.613243595584777</v>
      </c>
      <c r="N13" s="182">
        <f>'Summary Resources'!AB512+('Summary Resources'!AB500*$A$3)</f>
        <v>56.758654947458574</v>
      </c>
      <c r="O13" s="182">
        <f>'Summary Resources'!AB561+('Summary Resources'!AB549*$A$3)</f>
        <v>57.432056566011262</v>
      </c>
      <c r="P13" s="182">
        <f>'Summary Resources'!AB610+('Summary Resources'!AB598*$A$3)</f>
        <v>56.877899441508887</v>
      </c>
      <c r="Q13" s="182">
        <f>'Summary Resources'!AB659+('Summary Resources'!AB647*$A$3)</f>
        <v>57.530083968403503</v>
      </c>
      <c r="R13" s="182">
        <f>'Summary Resources'!AB708+('Summary Resources'!AB696*$A$3)</f>
        <v>56.758635689247917</v>
      </c>
      <c r="S13" s="182">
        <f>'Summary Resources'!AB757+('Summary Resources'!AB745*$A$3)</f>
        <v>56.714221516785351</v>
      </c>
      <c r="T13" s="182">
        <f>'Summary Resources'!AB806+('Summary Resources'!AB794*$A$3)</f>
        <v>57.772279418046168</v>
      </c>
      <c r="U13" s="182">
        <f>'Summary Resources'!AB855+('Summary Resources'!AB843*$A$3)</f>
        <v>56.613243595585004</v>
      </c>
      <c r="W13" s="133">
        <f t="shared" si="17"/>
        <v>0.25296241091783855</v>
      </c>
      <c r="X13" s="133">
        <f t="shared" si="3"/>
        <v>2.2737367544323206E-13</v>
      </c>
      <c r="Y13" s="133">
        <f t="shared" si="4"/>
        <v>0</v>
      </c>
      <c r="Z13" s="133">
        <f t="shared" si="5"/>
        <v>-1.6132435955847768</v>
      </c>
      <c r="AA13" s="133">
        <f t="shared" si="6"/>
        <v>0.11912174331885694</v>
      </c>
      <c r="AB13" s="133">
        <f t="shared" si="7"/>
        <v>-6.4098491690806725E-2</v>
      </c>
      <c r="AC13" s="133">
        <f t="shared" si="8"/>
        <v>-6.895755584432095E-2</v>
      </c>
      <c r="AD13" s="133">
        <f t="shared" si="9"/>
        <v>0</v>
      </c>
      <c r="AE13" s="133">
        <f t="shared" si="10"/>
        <v>0</v>
      </c>
      <c r="AF13" s="133">
        <f t="shared" si="11"/>
        <v>0.14541135187379695</v>
      </c>
      <c r="AG13" s="133">
        <f t="shared" si="12"/>
        <v>0.81881297042648526</v>
      </c>
      <c r="AH13" s="133">
        <f t="shared" si="13"/>
        <v>0.26465584592411062</v>
      </c>
      <c r="AI13" s="133">
        <f t="shared" si="14"/>
        <v>0.91684037281872577</v>
      </c>
      <c r="AJ13" s="133">
        <f t="shared" si="15"/>
        <v>0.14539209366314054</v>
      </c>
      <c r="AK13" s="133">
        <f t="shared" si="16"/>
        <v>0.10097792120057392</v>
      </c>
      <c r="AL13" s="133">
        <f t="shared" si="16"/>
        <v>1.1590358224613908</v>
      </c>
      <c r="AM13" s="133">
        <f t="shared" si="16"/>
        <v>2.2737367544323206E-13</v>
      </c>
    </row>
    <row r="14" spans="1:39" x14ac:dyDescent="0.2">
      <c r="C14" s="179" t="s">
        <v>19</v>
      </c>
      <c r="D14" s="181">
        <f>'Summary Resources'!AB26+('Summary Resources'!AB14*$A$3)</f>
        <v>59.056365449898053</v>
      </c>
      <c r="E14" s="181">
        <f>'Summary Resources'!AB74+('Summary Resources'!AB62*$A$3)</f>
        <v>59.541472810740061</v>
      </c>
      <c r="F14" s="182">
        <f>'Summary Resources'!AB122+('Summary Resources'!AB110*$A$3)</f>
        <v>59.056365449899182</v>
      </c>
      <c r="G14" s="182">
        <f>'Summary Resources'!AB170+('Summary Resources'!AB158*$A$3)</f>
        <v>59.056365449898053</v>
      </c>
      <c r="H14" s="182">
        <f>'Summary Resources'!AB219+('Summary Resources'!AB207*'Resource Table'!$A$3)</f>
        <v>59</v>
      </c>
      <c r="I14" s="182">
        <f>'Summary Resources'!AB268+('Summary Resources'!AB256*$A$3)</f>
        <v>60.101193407536691</v>
      </c>
      <c r="J14" s="182">
        <f>'Summary Resources'!AB317+('Summary Resources'!AB305*$A$3)</f>
        <v>58.997203812173524</v>
      </c>
      <c r="K14" s="182">
        <f>'Summary Resources'!AB366+('Summary Resources'!AB354*$A$3)</f>
        <v>58.984604816477308</v>
      </c>
      <c r="L14" s="182">
        <f>'Summary Resources'!AB415+('Summary Resources'!AB403*$A$3)</f>
        <v>59.056365449898053</v>
      </c>
      <c r="M14" s="182">
        <f>'Summary Resources'!AB464+('Summary Resources'!AB452*$A$3)</f>
        <v>59.056365449898053</v>
      </c>
      <c r="N14" s="182">
        <f>'Summary Resources'!AB513+('Summary Resources'!AB501*$A$3)</f>
        <v>59.376609972599951</v>
      </c>
      <c r="O14" s="182">
        <f>'Summary Resources'!AB562+('Summary Resources'!AB550*$A$3)</f>
        <v>59.598257248305167</v>
      </c>
      <c r="P14" s="182">
        <f>'Summary Resources'!AB611+('Summary Resources'!AB599*$A$3)</f>
        <v>59.534429591368372</v>
      </c>
      <c r="Q14" s="182">
        <f>'Summary Resources'!AB660+('Summary Resources'!AB648*$A$3)</f>
        <v>60.108199860547728</v>
      </c>
      <c r="R14" s="182">
        <f>'Summary Resources'!AB709+('Summary Resources'!AB697*$A$3)</f>
        <v>59.376467447587963</v>
      </c>
      <c r="S14" s="182">
        <f>'Summary Resources'!AB758+('Summary Resources'!AB746*$A$3)</f>
        <v>59.24405864434128</v>
      </c>
      <c r="T14" s="182">
        <f>'Summary Resources'!AB807+('Summary Resources'!AB795*$A$3)</f>
        <v>59.906865352932527</v>
      </c>
      <c r="U14" s="182">
        <f>'Summary Resources'!AB856+('Summary Resources'!AB844*$A$3)</f>
        <v>59.056365449899182</v>
      </c>
      <c r="W14" s="133">
        <f t="shared" si="17"/>
        <v>0.48510736084200801</v>
      </c>
      <c r="X14" s="133">
        <f t="shared" si="3"/>
        <v>1.1297629498585593E-12</v>
      </c>
      <c r="Y14" s="133">
        <f t="shared" si="4"/>
        <v>0</v>
      </c>
      <c r="Z14" s="133">
        <f t="shared" si="5"/>
        <v>-5.6365449898052589E-2</v>
      </c>
      <c r="AA14" s="133">
        <f t="shared" si="6"/>
        <v>1.0448279576386383</v>
      </c>
      <c r="AB14" s="133">
        <f t="shared" si="7"/>
        <v>-5.9161637724528759E-2</v>
      </c>
      <c r="AC14" s="133">
        <f t="shared" si="8"/>
        <v>-7.1760633420744568E-2</v>
      </c>
      <c r="AD14" s="133">
        <f t="shared" si="9"/>
        <v>0</v>
      </c>
      <c r="AE14" s="133">
        <f t="shared" si="10"/>
        <v>0</v>
      </c>
      <c r="AF14" s="133">
        <f t="shared" si="11"/>
        <v>0.3202445227018984</v>
      </c>
      <c r="AG14" s="133">
        <f t="shared" si="12"/>
        <v>0.54189179840711432</v>
      </c>
      <c r="AH14" s="133">
        <f t="shared" si="13"/>
        <v>0.47806414147031973</v>
      </c>
      <c r="AI14" s="133">
        <f t="shared" si="14"/>
        <v>1.0518344106496755</v>
      </c>
      <c r="AJ14" s="133">
        <f t="shared" si="15"/>
        <v>0.32010199768991043</v>
      </c>
      <c r="AK14" s="133">
        <f t="shared" si="16"/>
        <v>0.18769319444322718</v>
      </c>
      <c r="AL14" s="133">
        <f t="shared" si="16"/>
        <v>0.85049990303447487</v>
      </c>
      <c r="AM14" s="133">
        <f t="shared" si="16"/>
        <v>1.1297629498585593E-12</v>
      </c>
    </row>
    <row r="15" spans="1:39" x14ac:dyDescent="0.2">
      <c r="C15" s="177"/>
      <c r="D15" s="182"/>
      <c r="E15" s="181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</row>
    <row r="16" spans="1:39" x14ac:dyDescent="0.2">
      <c r="A16" s="189">
        <f>1-A3</f>
        <v>0.35599999999999998</v>
      </c>
      <c r="C16" s="180" t="s">
        <v>8</v>
      </c>
      <c r="D16" s="182"/>
      <c r="E16" s="181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</row>
    <row r="17" spans="3:39" x14ac:dyDescent="0.2">
      <c r="C17" s="179" t="s">
        <v>12</v>
      </c>
      <c r="D17" s="181">
        <f>'Summary Resources'!AB29+('Summary Resources'!AB4*$A$16)</f>
        <v>303.51322470283066</v>
      </c>
      <c r="E17" s="181">
        <f>'Summary Resources'!AB77+('Summary Resources'!AB52*$A$16)</f>
        <v>264.22559880395011</v>
      </c>
      <c r="F17" s="182">
        <f>'Summary Resources'!AB125+('Summary Resources'!AB100*$A$16)</f>
        <v>164.05308258144044</v>
      </c>
      <c r="G17" s="182">
        <f>'Summary Resources'!AB173+('Summary Resources'!AB148*$A$16)</f>
        <v>0</v>
      </c>
      <c r="H17" s="182">
        <f>'Summary Resources'!AB222+('Summary Resources'!AB197*$A$16)</f>
        <v>0</v>
      </c>
      <c r="I17" s="182">
        <f>'Summary Resources'!AB271+('Summary Resources'!AB246*$A$16)</f>
        <v>302.27662894580976</v>
      </c>
      <c r="J17" s="182">
        <f>'Summary Resources'!AB320+('Summary Resources'!AB295*$A$16)</f>
        <v>278.4756896189466</v>
      </c>
      <c r="K17" s="182">
        <f>'Summary Resources'!AB369+('Summary Resources'!AB344*$A$16)</f>
        <v>317.96282683597951</v>
      </c>
      <c r="L17" s="182">
        <f>'Summary Resources'!AB418+('Summary Resources'!AB393*$A$16)</f>
        <v>228.9054469343744</v>
      </c>
      <c r="M17" s="182">
        <f>'Summary Resources'!AB467+('Summary Resources'!AB442*$A$16)</f>
        <v>349.11952395024866</v>
      </c>
      <c r="N17" s="182">
        <f>'Summary Resources'!AB516+('Summary Resources'!AB491*$A$16)</f>
        <v>293.45699196701639</v>
      </c>
      <c r="O17" s="182">
        <f>'Summary Resources'!AB565+('Summary Resources'!AB540*$A$16)</f>
        <v>267.25409226314156</v>
      </c>
      <c r="P17" s="182">
        <f>'Summary Resources'!AB614+('Summary Resources'!AB589*$A$16)</f>
        <v>271.53196146290213</v>
      </c>
      <c r="Q17" s="182">
        <f>'Summary Resources'!AB663+('Summary Resources'!AB638*$A$16)</f>
        <v>282.78789416649033</v>
      </c>
      <c r="R17" s="182">
        <f>'Summary Resources'!AB712+('Summary Resources'!AB687*$A$16)</f>
        <v>0</v>
      </c>
      <c r="S17" s="182">
        <f>'Summary Resources'!AB761+('Summary Resources'!AB736*$A$16)</f>
        <v>202.70286541999809</v>
      </c>
      <c r="T17" s="182">
        <f>'Summary Resources'!AB810+('Summary Resources'!AB785*$A$16)</f>
        <v>270.74250000000012</v>
      </c>
      <c r="U17" s="182">
        <f>'Summary Resources'!AB859+('Summary Resources'!AB834*$A$16)</f>
        <v>276.76250695357692</v>
      </c>
      <c r="W17" s="133">
        <f t="shared" si="17"/>
        <v>-39.287625898880549</v>
      </c>
      <c r="X17" s="133">
        <f t="shared" si="3"/>
        <v>-139.46014212139022</v>
      </c>
      <c r="Y17" s="133">
        <f t="shared" si="4"/>
        <v>-303.51322470283066</v>
      </c>
      <c r="Z17" s="133">
        <f t="shared" si="5"/>
        <v>-303.51322470283066</v>
      </c>
      <c r="AA17" s="133">
        <f t="shared" si="6"/>
        <v>-1.2365957570208934</v>
      </c>
      <c r="AB17" s="133">
        <f t="shared" si="7"/>
        <v>-25.037535083884052</v>
      </c>
      <c r="AC17" s="133">
        <f t="shared" si="8"/>
        <v>14.449602133148858</v>
      </c>
      <c r="AD17" s="133">
        <f t="shared" si="9"/>
        <v>-74.607777768456259</v>
      </c>
      <c r="AE17" s="133">
        <f t="shared" si="10"/>
        <v>45.606299247418008</v>
      </c>
      <c r="AF17" s="133">
        <f t="shared" si="11"/>
        <v>-10.056232735814262</v>
      </c>
      <c r="AG17" s="133">
        <f t="shared" si="12"/>
        <v>-36.259132439689097</v>
      </c>
      <c r="AH17" s="133">
        <f t="shared" si="13"/>
        <v>-31.981263239928523</v>
      </c>
      <c r="AI17" s="133">
        <f t="shared" si="14"/>
        <v>-20.725330536340323</v>
      </c>
      <c r="AJ17" s="133">
        <f t="shared" si="15"/>
        <v>-303.51322470283066</v>
      </c>
      <c r="AK17" s="133">
        <f t="shared" si="16"/>
        <v>-100.81035928283256</v>
      </c>
      <c r="AL17" s="133">
        <f t="shared" si="16"/>
        <v>-32.770724702830535</v>
      </c>
      <c r="AM17" s="133">
        <f t="shared" si="16"/>
        <v>-26.750717749253738</v>
      </c>
    </row>
    <row r="18" spans="3:39" x14ac:dyDescent="0.2">
      <c r="C18" s="179" t="s">
        <v>13</v>
      </c>
      <c r="D18" s="181">
        <f>'Summary Resources'!AB30+('Summary Resources'!AB5*$A$16)</f>
        <v>0</v>
      </c>
      <c r="E18" s="181">
        <f>'Summary Resources'!AB78+('Summary Resources'!AB53*$A$16)</f>
        <v>0</v>
      </c>
      <c r="F18" s="182">
        <f>'Summary Resources'!AB126+('Summary Resources'!AB101*$A$16)</f>
        <v>0</v>
      </c>
      <c r="G18" s="182">
        <f>'Summary Resources'!AB174+('Summary Resources'!AB149*$A$16)</f>
        <v>0</v>
      </c>
      <c r="H18" s="182">
        <f>'Summary Resources'!AB223+('Summary Resources'!AB198*$A$16)</f>
        <v>0</v>
      </c>
      <c r="I18" s="182">
        <f>'Summary Resources'!AB272+('Summary Resources'!AB247*$A$16)</f>
        <v>0</v>
      </c>
      <c r="J18" s="182">
        <f>'Summary Resources'!AB321+('Summary Resources'!AB296*$A$16)</f>
        <v>0</v>
      </c>
      <c r="K18" s="182">
        <f>'Summary Resources'!AB370+('Summary Resources'!AB345*$A$16)</f>
        <v>0</v>
      </c>
      <c r="L18" s="182">
        <f>'Summary Resources'!AB419+('Summary Resources'!AB394*$A$16)</f>
        <v>0</v>
      </c>
      <c r="M18" s="182">
        <f>'Summary Resources'!AB468+('Summary Resources'!AB443*$A$16)</f>
        <v>0</v>
      </c>
      <c r="N18" s="182">
        <f>'Summary Resources'!AB517+('Summary Resources'!AB492*$A$16)</f>
        <v>0</v>
      </c>
      <c r="O18" s="182">
        <f>'Summary Resources'!AB566+('Summary Resources'!AB541*$A$16)</f>
        <v>0</v>
      </c>
      <c r="P18" s="182">
        <f>'Summary Resources'!AB615+('Summary Resources'!AB590*$A$16)</f>
        <v>0</v>
      </c>
      <c r="Q18" s="182">
        <f>'Summary Resources'!AB664+('Summary Resources'!AB639*$A$16)</f>
        <v>0</v>
      </c>
      <c r="R18" s="182">
        <f>'Summary Resources'!AB713+('Summary Resources'!AB688*$A$16)</f>
        <v>0</v>
      </c>
      <c r="S18" s="182">
        <f>'Summary Resources'!AB762+('Summary Resources'!AB737*$A$16)</f>
        <v>0</v>
      </c>
      <c r="T18" s="182">
        <f>'Summary Resources'!AB811+('Summary Resources'!AB786*$A$16)</f>
        <v>0</v>
      </c>
      <c r="U18" s="182">
        <f>'Summary Resources'!AB860+('Summary Resources'!AB835*$A$16)</f>
        <v>0</v>
      </c>
      <c r="W18" s="133">
        <f t="shared" si="17"/>
        <v>0</v>
      </c>
      <c r="X18" s="133">
        <f t="shared" si="3"/>
        <v>0</v>
      </c>
      <c r="Y18" s="133">
        <f t="shared" si="4"/>
        <v>0</v>
      </c>
      <c r="Z18" s="133">
        <f t="shared" si="5"/>
        <v>0</v>
      </c>
      <c r="AA18" s="133">
        <f t="shared" si="6"/>
        <v>0</v>
      </c>
      <c r="AB18" s="133">
        <f t="shared" si="7"/>
        <v>0</v>
      </c>
      <c r="AC18" s="133">
        <f t="shared" si="8"/>
        <v>0</v>
      </c>
      <c r="AD18" s="133">
        <f t="shared" si="9"/>
        <v>0</v>
      </c>
      <c r="AE18" s="133">
        <f t="shared" si="10"/>
        <v>0</v>
      </c>
      <c r="AF18" s="133">
        <f t="shared" si="11"/>
        <v>0</v>
      </c>
      <c r="AG18" s="133">
        <f t="shared" si="12"/>
        <v>0</v>
      </c>
      <c r="AH18" s="133">
        <f t="shared" si="13"/>
        <v>0</v>
      </c>
      <c r="AI18" s="133">
        <f t="shared" si="14"/>
        <v>0</v>
      </c>
      <c r="AJ18" s="133">
        <f t="shared" si="15"/>
        <v>0</v>
      </c>
      <c r="AK18" s="133">
        <f t="shared" si="16"/>
        <v>0</v>
      </c>
      <c r="AL18" s="133">
        <f t="shared" si="16"/>
        <v>0</v>
      </c>
      <c r="AM18" s="133">
        <f t="shared" si="16"/>
        <v>0</v>
      </c>
    </row>
    <row r="19" spans="3:39" x14ac:dyDescent="0.2">
      <c r="C19" s="179" t="s">
        <v>14</v>
      </c>
      <c r="D19" s="181">
        <f>'Summary Resources'!AB31+('Summary Resources'!AB6*$A$16)</f>
        <v>0</v>
      </c>
      <c r="E19" s="181">
        <f>'Summary Resources'!AB79+('Summary Resources'!AB54*$A$16)</f>
        <v>0</v>
      </c>
      <c r="F19" s="182">
        <f>'Summary Resources'!AB127+('Summary Resources'!AB102*$A$16)</f>
        <v>0</v>
      </c>
      <c r="G19" s="182">
        <f>'Summary Resources'!AB175+('Summary Resources'!AB150*$A$16)</f>
        <v>0</v>
      </c>
      <c r="H19" s="182">
        <f>'Summary Resources'!AB224+('Summary Resources'!AB199*$A$16)</f>
        <v>0</v>
      </c>
      <c r="I19" s="182">
        <f>'Summary Resources'!AB273+('Summary Resources'!AB248*$A$16)</f>
        <v>0</v>
      </c>
      <c r="J19" s="182">
        <f>'Summary Resources'!AB322+('Summary Resources'!AB297*$A$16)</f>
        <v>0</v>
      </c>
      <c r="K19" s="182">
        <f>'Summary Resources'!AB371+('Summary Resources'!AB346*$A$16)</f>
        <v>0</v>
      </c>
      <c r="L19" s="182">
        <f>'Summary Resources'!AB420+('Summary Resources'!AB395*$A$16)</f>
        <v>0</v>
      </c>
      <c r="M19" s="182">
        <f>'Summary Resources'!AB469+('Summary Resources'!AB444*$A$16)</f>
        <v>0</v>
      </c>
      <c r="N19" s="182">
        <f>'Summary Resources'!AB518+('Summary Resources'!AB493*$A$16)</f>
        <v>0</v>
      </c>
      <c r="O19" s="182">
        <f>'Summary Resources'!AB567+('Summary Resources'!AB542*$A$16)</f>
        <v>0</v>
      </c>
      <c r="P19" s="182">
        <f>'Summary Resources'!AB616+('Summary Resources'!AB591*$A$16)</f>
        <v>0</v>
      </c>
      <c r="Q19" s="182">
        <f>'Summary Resources'!AB665+('Summary Resources'!AB640*$A$16)</f>
        <v>0</v>
      </c>
      <c r="R19" s="182">
        <f>'Summary Resources'!AB714+('Summary Resources'!AB689*$A$16)</f>
        <v>0</v>
      </c>
      <c r="S19" s="182">
        <f>'Summary Resources'!AB763+('Summary Resources'!AB738*$A$16)</f>
        <v>0</v>
      </c>
      <c r="T19" s="182">
        <f>'Summary Resources'!AB812+('Summary Resources'!AB787*$A$16)</f>
        <v>0</v>
      </c>
      <c r="U19" s="182">
        <f>'Summary Resources'!AB861+('Summary Resources'!AB836*$A$16)</f>
        <v>0</v>
      </c>
      <c r="W19" s="133">
        <f t="shared" si="17"/>
        <v>0</v>
      </c>
      <c r="X19" s="133">
        <f t="shared" si="3"/>
        <v>0</v>
      </c>
      <c r="Y19" s="133">
        <f t="shared" si="4"/>
        <v>0</v>
      </c>
      <c r="Z19" s="133">
        <f t="shared" si="5"/>
        <v>0</v>
      </c>
      <c r="AA19" s="133">
        <f t="shared" si="6"/>
        <v>0</v>
      </c>
      <c r="AB19" s="133">
        <f t="shared" si="7"/>
        <v>0</v>
      </c>
      <c r="AC19" s="133">
        <f t="shared" si="8"/>
        <v>0</v>
      </c>
      <c r="AD19" s="133">
        <f t="shared" si="9"/>
        <v>0</v>
      </c>
      <c r="AE19" s="133">
        <f t="shared" si="10"/>
        <v>0</v>
      </c>
      <c r="AF19" s="133">
        <f t="shared" si="11"/>
        <v>0</v>
      </c>
      <c r="AG19" s="133">
        <f t="shared" si="12"/>
        <v>0</v>
      </c>
      <c r="AH19" s="133">
        <f t="shared" si="13"/>
        <v>0</v>
      </c>
      <c r="AI19" s="133">
        <f t="shared" si="14"/>
        <v>0</v>
      </c>
      <c r="AJ19" s="133">
        <f t="shared" si="15"/>
        <v>0</v>
      </c>
      <c r="AK19" s="133">
        <f t="shared" si="16"/>
        <v>0</v>
      </c>
      <c r="AL19" s="133">
        <f t="shared" si="16"/>
        <v>0</v>
      </c>
      <c r="AM19" s="133">
        <f t="shared" si="16"/>
        <v>0</v>
      </c>
    </row>
    <row r="20" spans="3:39" x14ac:dyDescent="0.2">
      <c r="C20" s="179" t="s">
        <v>15</v>
      </c>
      <c r="D20" s="181">
        <f>'Summary Resources'!AB32+('Summary Resources'!AB7*$A$16)</f>
        <v>0</v>
      </c>
      <c r="E20" s="181">
        <f>'Summary Resources'!AB80+('Summary Resources'!AB55*$A$16)</f>
        <v>0</v>
      </c>
      <c r="F20" s="182">
        <f>'Summary Resources'!AB128+('Summary Resources'!AB103*$A$16)</f>
        <v>35.6</v>
      </c>
      <c r="G20" s="182">
        <f>'Summary Resources'!AB176+('Summary Resources'!AB151*$A$16)</f>
        <v>0</v>
      </c>
      <c r="H20" s="182">
        <f>'Summary Resources'!AB225+('Summary Resources'!AB200*$A$16)</f>
        <v>0</v>
      </c>
      <c r="I20" s="182">
        <f>'Summary Resources'!AB274+('Summary Resources'!AB249*$A$16)</f>
        <v>0</v>
      </c>
      <c r="J20" s="182">
        <f>'Summary Resources'!AB323+('Summary Resources'!AB298*$A$16)</f>
        <v>0</v>
      </c>
      <c r="K20" s="182">
        <f>'Summary Resources'!AB372+('Summary Resources'!AB347*$A$16)</f>
        <v>0</v>
      </c>
      <c r="L20" s="182">
        <f>'Summary Resources'!AB421+('Summary Resources'!AB396*$A$16)</f>
        <v>0</v>
      </c>
      <c r="M20" s="182">
        <f>'Summary Resources'!AB470+('Summary Resources'!AB445*$A$16)</f>
        <v>0</v>
      </c>
      <c r="N20" s="182">
        <f>'Summary Resources'!AB519+('Summary Resources'!AB494*$A$16)</f>
        <v>0</v>
      </c>
      <c r="O20" s="182">
        <f>'Summary Resources'!AB568+('Summary Resources'!AB543*$A$16)</f>
        <v>0</v>
      </c>
      <c r="P20" s="182">
        <f>'Summary Resources'!AB617+('Summary Resources'!AB592*$A$16)</f>
        <v>0</v>
      </c>
      <c r="Q20" s="182">
        <f>'Summary Resources'!AB666+('Summary Resources'!AB641*$A$16)</f>
        <v>0</v>
      </c>
      <c r="R20" s="182">
        <f>'Summary Resources'!AB715+('Summary Resources'!AB690*$A$16)</f>
        <v>235.60000000000002</v>
      </c>
      <c r="S20" s="182">
        <f>'Summary Resources'!AB764+('Summary Resources'!AB739*$A$16)</f>
        <v>0</v>
      </c>
      <c r="T20" s="182">
        <f>'Summary Resources'!AB813+('Summary Resources'!AB788*$A$16)</f>
        <v>0</v>
      </c>
      <c r="U20" s="182">
        <f>'Summary Resources'!AB862+('Summary Resources'!AB837*$A$16)</f>
        <v>0</v>
      </c>
      <c r="W20" s="133">
        <f t="shared" si="17"/>
        <v>0</v>
      </c>
      <c r="X20" s="133">
        <f t="shared" si="3"/>
        <v>35.6</v>
      </c>
      <c r="Y20" s="133">
        <f t="shared" si="4"/>
        <v>0</v>
      </c>
      <c r="Z20" s="133">
        <f t="shared" si="5"/>
        <v>0</v>
      </c>
      <c r="AA20" s="133">
        <f t="shared" si="6"/>
        <v>0</v>
      </c>
      <c r="AB20" s="133">
        <f t="shared" si="7"/>
        <v>0</v>
      </c>
      <c r="AC20" s="133">
        <f t="shared" si="8"/>
        <v>0</v>
      </c>
      <c r="AD20" s="133">
        <f t="shared" si="9"/>
        <v>0</v>
      </c>
      <c r="AE20" s="133">
        <f t="shared" si="10"/>
        <v>0</v>
      </c>
      <c r="AF20" s="133">
        <f t="shared" si="11"/>
        <v>0</v>
      </c>
      <c r="AG20" s="133">
        <f t="shared" si="12"/>
        <v>0</v>
      </c>
      <c r="AH20" s="133">
        <f t="shared" si="13"/>
        <v>0</v>
      </c>
      <c r="AI20" s="133">
        <f t="shared" si="14"/>
        <v>0</v>
      </c>
      <c r="AJ20" s="133">
        <f t="shared" si="15"/>
        <v>235.60000000000002</v>
      </c>
      <c r="AK20" s="133">
        <f t="shared" si="16"/>
        <v>0</v>
      </c>
      <c r="AL20" s="133">
        <f t="shared" si="16"/>
        <v>0</v>
      </c>
      <c r="AM20" s="133">
        <f t="shared" si="16"/>
        <v>0</v>
      </c>
    </row>
    <row r="21" spans="3:39" x14ac:dyDescent="0.2">
      <c r="C21" s="179" t="s">
        <v>16</v>
      </c>
      <c r="D21" s="181">
        <f>'Summary Resources'!AB33+('Summary Resources'!AB8*$A$16)</f>
        <v>66.924947499797682</v>
      </c>
      <c r="E21" s="181">
        <f>'Summary Resources'!AB81+('Summary Resources'!AB56*$A$16)</f>
        <v>89.026198266127281</v>
      </c>
      <c r="F21" s="182">
        <f>'Summary Resources'!AB129+('Summary Resources'!AB104*$A$16)</f>
        <v>175.76157473173203</v>
      </c>
      <c r="G21" s="182">
        <f>'Summary Resources'!AB177+('Summary Resources'!AB152*$A$16)</f>
        <v>0</v>
      </c>
      <c r="H21" s="182">
        <f>'Summary Resources'!AB226+('Summary Resources'!AB201*$A$16)</f>
        <v>349.988</v>
      </c>
      <c r="I21" s="182">
        <f>'Summary Resources'!AB275+('Summary Resources'!AB250*$A$16)</f>
        <v>87.322037848341907</v>
      </c>
      <c r="J21" s="182">
        <f>'Summary Resources'!AB324+('Summary Resources'!AB299*$A$16)</f>
        <v>126.00347781657621</v>
      </c>
      <c r="K21" s="182">
        <f>'Summary Resources'!AB373+('Summary Resources'!AB348*$A$16)</f>
        <v>41.613373333987198</v>
      </c>
      <c r="L21" s="182">
        <f>'Summary Resources'!AB422+('Summary Resources'!AB397*$A$16)</f>
        <v>77.209205851139245</v>
      </c>
      <c r="M21" s="182">
        <f>'Summary Resources'!AB471+('Summary Resources'!AB446*$A$16)</f>
        <v>111.7676445799212</v>
      </c>
      <c r="N21" s="182">
        <f>'Summary Resources'!AB520+('Summary Resources'!AB495*$A$16)</f>
        <v>160.60000000000005</v>
      </c>
      <c r="O21" s="182">
        <f>'Summary Resources'!AB569+('Summary Resources'!AB544*$A$16)</f>
        <v>134.81375068260047</v>
      </c>
      <c r="P21" s="182">
        <f>'Summary Resources'!AB618+('Summary Resources'!AB593*$A$16)</f>
        <v>148.95460170804196</v>
      </c>
      <c r="Q21" s="182">
        <f>'Summary Resources'!AB667+('Summary Resources'!AB642*$A$16)</f>
        <v>166.90443830656434</v>
      </c>
      <c r="R21" s="182">
        <f>'Summary Resources'!AB716+('Summary Resources'!AB691*$A$16)</f>
        <v>18.001009557341305</v>
      </c>
      <c r="S21" s="182">
        <f>'Summary Resources'!AB765+('Summary Resources'!AB740*$A$16)</f>
        <v>35.600000000000072</v>
      </c>
      <c r="T21" s="182">
        <f>'Summary Resources'!AB814+('Summary Resources'!AB789*$A$16)</f>
        <v>85.051696157305784</v>
      </c>
      <c r="U21" s="182">
        <f>'Summary Resources'!AB863+('Summary Resources'!AB838*$A$16)</f>
        <v>119.15314212178265</v>
      </c>
      <c r="W21" s="133">
        <f t="shared" si="17"/>
        <v>22.101250766329599</v>
      </c>
      <c r="X21" s="133">
        <f t="shared" si="3"/>
        <v>108.83662723193434</v>
      </c>
      <c r="Y21" s="133">
        <f t="shared" si="4"/>
        <v>-66.924947499797682</v>
      </c>
      <c r="Z21" s="133">
        <f t="shared" si="5"/>
        <v>283.06305250020233</v>
      </c>
      <c r="AA21" s="133">
        <f t="shared" si="6"/>
        <v>20.397090348544225</v>
      </c>
      <c r="AB21" s="133">
        <f t="shared" si="7"/>
        <v>59.078530316778526</v>
      </c>
      <c r="AC21" s="133">
        <f t="shared" si="8"/>
        <v>-25.311574165810484</v>
      </c>
      <c r="AD21" s="133">
        <f t="shared" si="9"/>
        <v>10.284258351341563</v>
      </c>
      <c r="AE21" s="133">
        <f t="shared" si="10"/>
        <v>44.842697080123514</v>
      </c>
      <c r="AF21" s="133">
        <f t="shared" si="11"/>
        <v>93.675052500202369</v>
      </c>
      <c r="AG21" s="133">
        <f t="shared" si="12"/>
        <v>67.888803182802789</v>
      </c>
      <c r="AH21" s="133">
        <f t="shared" si="13"/>
        <v>82.029654208244281</v>
      </c>
      <c r="AI21" s="133">
        <f t="shared" si="14"/>
        <v>99.979490806766663</v>
      </c>
      <c r="AJ21" s="133">
        <f t="shared" si="15"/>
        <v>-48.923937942456377</v>
      </c>
      <c r="AK21" s="133">
        <f t="shared" si="16"/>
        <v>-31.324947499797609</v>
      </c>
      <c r="AL21" s="133">
        <f t="shared" si="16"/>
        <v>18.126748657508102</v>
      </c>
      <c r="AM21" s="133">
        <f t="shared" si="16"/>
        <v>52.228194621984969</v>
      </c>
    </row>
    <row r="22" spans="3:39" x14ac:dyDescent="0.2">
      <c r="C22" s="179" t="s">
        <v>85</v>
      </c>
      <c r="D22" s="181">
        <f>'Summary Resources'!AB34+('Summary Resources'!AB9*$A$16)</f>
        <v>0</v>
      </c>
      <c r="E22" s="181">
        <f>'Summary Resources'!AB82+('Summary Resources'!AB57*$A$16)</f>
        <v>0</v>
      </c>
      <c r="F22" s="182">
        <f>'Summary Resources'!AB130+('Summary Resources'!AB105*$A$16)</f>
        <v>0</v>
      </c>
      <c r="G22" s="182">
        <f>'Summary Resources'!AB178+('Summary Resources'!AB153*$A$16)</f>
        <v>0</v>
      </c>
      <c r="H22" s="182">
        <f>'Summary Resources'!AB227+('Summary Resources'!AB202*$A$16)</f>
        <v>0</v>
      </c>
      <c r="I22" s="182">
        <f>'Summary Resources'!AB276+('Summary Resources'!AB251*$A$16)</f>
        <v>0</v>
      </c>
      <c r="J22" s="182">
        <f>'Summary Resources'!AB325+('Summary Resources'!AB300*$A$16)</f>
        <v>0</v>
      </c>
      <c r="K22" s="182">
        <f>'Summary Resources'!AB374+('Summary Resources'!AB349*$A$16)</f>
        <v>0</v>
      </c>
      <c r="L22" s="182">
        <f>'Summary Resources'!AB423+('Summary Resources'!AB398*$A$16)</f>
        <v>0</v>
      </c>
      <c r="M22" s="182">
        <f>'Summary Resources'!AB472+('Summary Resources'!AB447*$A$16)</f>
        <v>0</v>
      </c>
      <c r="N22" s="182">
        <f>'Summary Resources'!AB521+('Summary Resources'!AB496*$A$16)</f>
        <v>0</v>
      </c>
      <c r="O22" s="182">
        <f>'Summary Resources'!AB570+('Summary Resources'!AB545*$A$16)</f>
        <v>0</v>
      </c>
      <c r="P22" s="182">
        <f>'Summary Resources'!AB619+('Summary Resources'!AB594*$A$16)</f>
        <v>0</v>
      </c>
      <c r="Q22" s="182">
        <f>'Summary Resources'!AB668+('Summary Resources'!AB643*$A$16)</f>
        <v>0</v>
      </c>
      <c r="R22" s="182">
        <f>'Summary Resources'!AB717+('Summary Resources'!AB692*$A$16)</f>
        <v>377.0655690014982</v>
      </c>
      <c r="S22" s="182">
        <f>'Summary Resources'!AB766+('Summary Resources'!AB741*$A$16)</f>
        <v>115.09317026648883</v>
      </c>
      <c r="T22" s="182">
        <f>'Summary Resources'!AB815+('Summary Resources'!AB790*$A$16)</f>
        <v>0</v>
      </c>
      <c r="U22" s="182">
        <f>'Summary Resources'!AB864+('Summary Resources'!AB839*$A$16)</f>
        <v>0</v>
      </c>
      <c r="W22" s="133">
        <f t="shared" si="17"/>
        <v>0</v>
      </c>
      <c r="X22" s="133">
        <f t="shared" si="3"/>
        <v>0</v>
      </c>
      <c r="Y22" s="133">
        <f t="shared" si="4"/>
        <v>0</v>
      </c>
      <c r="Z22" s="133">
        <f t="shared" si="5"/>
        <v>0</v>
      </c>
      <c r="AA22" s="133">
        <f t="shared" si="6"/>
        <v>0</v>
      </c>
      <c r="AB22" s="133">
        <f t="shared" si="7"/>
        <v>0</v>
      </c>
      <c r="AC22" s="133">
        <f t="shared" si="8"/>
        <v>0</v>
      </c>
      <c r="AD22" s="133">
        <f t="shared" si="9"/>
        <v>0</v>
      </c>
      <c r="AE22" s="133">
        <f t="shared" si="10"/>
        <v>0</v>
      </c>
      <c r="AF22" s="133">
        <f t="shared" si="11"/>
        <v>0</v>
      </c>
      <c r="AG22" s="133">
        <f t="shared" si="12"/>
        <v>0</v>
      </c>
      <c r="AH22" s="133">
        <f t="shared" si="13"/>
        <v>0</v>
      </c>
      <c r="AI22" s="133">
        <f t="shared" si="14"/>
        <v>0</v>
      </c>
      <c r="AJ22" s="133">
        <f t="shared" si="15"/>
        <v>377.0655690014982</v>
      </c>
      <c r="AK22" s="133">
        <f t="shared" si="16"/>
        <v>115.09317026648883</v>
      </c>
      <c r="AL22" s="133">
        <f t="shared" si="16"/>
        <v>0</v>
      </c>
      <c r="AM22" s="133">
        <f t="shared" si="16"/>
        <v>0</v>
      </c>
    </row>
    <row r="23" spans="3:39" x14ac:dyDescent="0.2">
      <c r="C23" s="179" t="s">
        <v>86</v>
      </c>
      <c r="D23" s="181">
        <f>'Summary Resources'!AB35+('Summary Resources'!AB10*$A$16)</f>
        <v>0</v>
      </c>
      <c r="E23" s="181">
        <f>'Summary Resources'!AB83+('Summary Resources'!AB58*$A$16)</f>
        <v>0</v>
      </c>
      <c r="F23" s="182">
        <f>'Summary Resources'!AB131+('Summary Resources'!AB106*$A$16)</f>
        <v>0</v>
      </c>
      <c r="G23" s="182">
        <f>'Summary Resources'!AB179+('Summary Resources'!AB154*$A$16)</f>
        <v>0</v>
      </c>
      <c r="H23" s="182">
        <f>'Summary Resources'!AB228+('Summary Resources'!AB203*$A$16)</f>
        <v>0</v>
      </c>
      <c r="I23" s="182">
        <f>'Summary Resources'!AB277+('Summary Resources'!AB252*$A$16)</f>
        <v>0</v>
      </c>
      <c r="J23" s="182">
        <f>'Summary Resources'!AB326+('Summary Resources'!AB301*$A$16)</f>
        <v>0</v>
      </c>
      <c r="K23" s="182">
        <f>'Summary Resources'!AB375+('Summary Resources'!AB350*$A$16)</f>
        <v>0</v>
      </c>
      <c r="L23" s="182">
        <f>'Summary Resources'!AB424+('Summary Resources'!AB399*$A$16)</f>
        <v>0</v>
      </c>
      <c r="M23" s="182">
        <f>'Summary Resources'!AB473+('Summary Resources'!AB448*$A$16)</f>
        <v>0</v>
      </c>
      <c r="N23" s="182">
        <f>'Summary Resources'!AB522+('Summary Resources'!AB497*$A$16)</f>
        <v>0</v>
      </c>
      <c r="O23" s="182">
        <f>'Summary Resources'!AB571+('Summary Resources'!AB546*$A$16)</f>
        <v>0</v>
      </c>
      <c r="P23" s="182">
        <f>'Summary Resources'!AB620+('Summary Resources'!AB595*$A$16)</f>
        <v>0</v>
      </c>
      <c r="Q23" s="182">
        <f>'Summary Resources'!AB669+('Summary Resources'!AB644*$A$16)</f>
        <v>0</v>
      </c>
      <c r="R23" s="182">
        <f>'Summary Resources'!AB718+('Summary Resources'!AB693*$A$16)</f>
        <v>64.72</v>
      </c>
      <c r="S23" s="182">
        <f>'Summary Resources'!AB767+('Summary Resources'!AB742*$A$16)</f>
        <v>20</v>
      </c>
      <c r="T23" s="182">
        <f>'Summary Resources'!AB816+('Summary Resources'!AB791*$A$16)</f>
        <v>0</v>
      </c>
      <c r="U23" s="182">
        <f>'Summary Resources'!AB865+('Summary Resources'!AB840*$A$16)</f>
        <v>0</v>
      </c>
      <c r="W23" s="133">
        <f t="shared" si="17"/>
        <v>0</v>
      </c>
      <c r="X23" s="133">
        <f t="shared" si="3"/>
        <v>0</v>
      </c>
      <c r="Y23" s="133">
        <f t="shared" si="4"/>
        <v>0</v>
      </c>
      <c r="Z23" s="133">
        <f t="shared" si="5"/>
        <v>0</v>
      </c>
      <c r="AA23" s="133">
        <f t="shared" si="6"/>
        <v>0</v>
      </c>
      <c r="AB23" s="133">
        <f t="shared" si="7"/>
        <v>0</v>
      </c>
      <c r="AC23" s="133">
        <f t="shared" si="8"/>
        <v>0</v>
      </c>
      <c r="AD23" s="133">
        <f t="shared" si="9"/>
        <v>0</v>
      </c>
      <c r="AE23" s="133">
        <f t="shared" si="10"/>
        <v>0</v>
      </c>
      <c r="AF23" s="133">
        <f t="shared" si="11"/>
        <v>0</v>
      </c>
      <c r="AG23" s="133">
        <f t="shared" si="12"/>
        <v>0</v>
      </c>
      <c r="AH23" s="133">
        <f t="shared" si="13"/>
        <v>0</v>
      </c>
      <c r="AI23" s="133">
        <f t="shared" si="14"/>
        <v>0</v>
      </c>
      <c r="AJ23" s="133">
        <f t="shared" si="15"/>
        <v>64.72</v>
      </c>
      <c r="AK23" s="133">
        <f t="shared" si="16"/>
        <v>20</v>
      </c>
      <c r="AL23" s="133">
        <f t="shared" si="16"/>
        <v>0</v>
      </c>
      <c r="AM23" s="133">
        <f t="shared" si="16"/>
        <v>0</v>
      </c>
    </row>
    <row r="24" spans="3:39" x14ac:dyDescent="0.2">
      <c r="C24" s="179" t="s">
        <v>87</v>
      </c>
      <c r="D24" s="181">
        <f>'Summary Resources'!AB36+('Summary Resources'!AB11*$A$16)</f>
        <v>0</v>
      </c>
      <c r="E24" s="181">
        <f>'Summary Resources'!AB84+('Summary Resources'!AB59*$A$16)</f>
        <v>0</v>
      </c>
      <c r="F24" s="182">
        <f>'Summary Resources'!AB132+('Summary Resources'!AB107*$A$16)</f>
        <v>1.7799999999999998</v>
      </c>
      <c r="G24" s="182">
        <f>'Summary Resources'!AB180+('Summary Resources'!AB155*$A$16)</f>
        <v>0</v>
      </c>
      <c r="H24" s="182">
        <f>'Summary Resources'!AB229+('Summary Resources'!AB204*$A$16)</f>
        <v>0</v>
      </c>
      <c r="I24" s="182">
        <f>'Summary Resources'!AB278+('Summary Resources'!AB253*$A$16)</f>
        <v>3.5599999999999996</v>
      </c>
      <c r="J24" s="182">
        <f>'Summary Resources'!AB327+('Summary Resources'!AB302*$A$16)</f>
        <v>3.5599999999999996</v>
      </c>
      <c r="K24" s="182">
        <f>'Summary Resources'!AB376+('Summary Resources'!AB351*$A$16)</f>
        <v>0</v>
      </c>
      <c r="L24" s="182">
        <f>'Summary Resources'!AB425+('Summary Resources'!AB400*$A$16)</f>
        <v>1.7799999999999998</v>
      </c>
      <c r="M24" s="182">
        <f>'Summary Resources'!AB474+('Summary Resources'!AB449*$A$16)</f>
        <v>1.7799999999999998</v>
      </c>
      <c r="N24" s="182">
        <f>'Summary Resources'!AB523+('Summary Resources'!AB498*$A$16)</f>
        <v>0</v>
      </c>
      <c r="O24" s="182">
        <f>'Summary Resources'!AB572+('Summary Resources'!AB547*$A$16)</f>
        <v>0</v>
      </c>
      <c r="P24" s="182">
        <f>'Summary Resources'!AB621+('Summary Resources'!AB596*$A$16)</f>
        <v>0</v>
      </c>
      <c r="Q24" s="182">
        <f>'Summary Resources'!AB670+('Summary Resources'!AB645*$A$16)</f>
        <v>1.7799999999999998</v>
      </c>
      <c r="R24" s="182">
        <f>'Summary Resources'!AB719+('Summary Resources'!AB694*$A$16)</f>
        <v>0</v>
      </c>
      <c r="S24" s="182">
        <f>'Summary Resources'!AB768+('Summary Resources'!AB743*$A$16)</f>
        <v>0</v>
      </c>
      <c r="T24" s="182">
        <f>'Summary Resources'!AB817+('Summary Resources'!AB792*$A$16)</f>
        <v>1.7799999999999998</v>
      </c>
      <c r="U24" s="182">
        <f>'Summary Resources'!AB866+('Summary Resources'!AB841*$A$16)</f>
        <v>1.7799999999999998</v>
      </c>
      <c r="W24" s="133">
        <f t="shared" si="17"/>
        <v>0</v>
      </c>
      <c r="X24" s="133">
        <f t="shared" si="3"/>
        <v>1.7799999999999998</v>
      </c>
      <c r="Y24" s="133">
        <f t="shared" si="4"/>
        <v>0</v>
      </c>
      <c r="Z24" s="133">
        <f t="shared" si="5"/>
        <v>0</v>
      </c>
      <c r="AA24" s="133">
        <f t="shared" si="6"/>
        <v>3.5599999999999996</v>
      </c>
      <c r="AB24" s="133">
        <f t="shared" si="7"/>
        <v>3.5599999999999996</v>
      </c>
      <c r="AC24" s="133">
        <f t="shared" si="8"/>
        <v>0</v>
      </c>
      <c r="AD24" s="133">
        <f t="shared" si="9"/>
        <v>1.7799999999999998</v>
      </c>
      <c r="AE24" s="133">
        <f t="shared" si="10"/>
        <v>1.7799999999999998</v>
      </c>
      <c r="AF24" s="133">
        <f t="shared" si="11"/>
        <v>0</v>
      </c>
      <c r="AG24" s="133">
        <f t="shared" si="12"/>
        <v>0</v>
      </c>
      <c r="AH24" s="133">
        <f t="shared" si="13"/>
        <v>0</v>
      </c>
      <c r="AI24" s="133">
        <f t="shared" si="14"/>
        <v>1.7799999999999998</v>
      </c>
      <c r="AJ24" s="133">
        <f t="shared" si="15"/>
        <v>0</v>
      </c>
      <c r="AK24" s="133">
        <f t="shared" si="16"/>
        <v>0</v>
      </c>
      <c r="AL24" s="133">
        <f t="shared" si="16"/>
        <v>1.7799999999999998</v>
      </c>
      <c r="AM24" s="133">
        <f t="shared" si="16"/>
        <v>1.7799999999999998</v>
      </c>
    </row>
    <row r="25" spans="3:39" x14ac:dyDescent="0.2">
      <c r="C25" s="179" t="s">
        <v>17</v>
      </c>
      <c r="D25" s="181">
        <f>'Summary Resources'!AB37+('Summary Resources'!AB12*$A$16)</f>
        <v>0</v>
      </c>
      <c r="E25" s="181">
        <f>'Summary Resources'!AB85+('Summary Resources'!AB60*$A$16)</f>
        <v>0</v>
      </c>
      <c r="F25" s="182">
        <f>'Summary Resources'!AB133+('Summary Resources'!AB108*$A$16)</f>
        <v>10.754094326399382</v>
      </c>
      <c r="G25" s="182">
        <f>'Summary Resources'!AB181+('Summary Resources'!AB156*$A$16)</f>
        <v>0</v>
      </c>
      <c r="H25" s="182">
        <f>'Summary Resources'!AB230+('Summary Resources'!AB205*$A$16)</f>
        <v>0</v>
      </c>
      <c r="I25" s="182">
        <f>'Summary Resources'!AB279+('Summary Resources'!AB254*$A$16)</f>
        <v>0</v>
      </c>
      <c r="J25" s="182">
        <f>'Summary Resources'!AB328+('Summary Resources'!AB303*$A$16)</f>
        <v>5.3359045534416127</v>
      </c>
      <c r="K25" s="182">
        <f>'Summary Resources'!AB377+('Summary Resources'!AB352*$A$16)</f>
        <v>0</v>
      </c>
      <c r="L25" s="182">
        <f>'Summary Resources'!AB426+('Summary Resources'!AB401*$A$16)</f>
        <v>0</v>
      </c>
      <c r="M25" s="182">
        <f>'Summary Resources'!AB475+('Summary Resources'!AB450*$A$16)</f>
        <v>7.2135869038657949</v>
      </c>
      <c r="N25" s="182">
        <f>'Summary Resources'!AB524+('Summary Resources'!AB499*$A$16)</f>
        <v>0</v>
      </c>
      <c r="O25" s="182">
        <f>'Summary Resources'!AB573+('Summary Resources'!AB548*$A$16)</f>
        <v>0</v>
      </c>
      <c r="P25" s="182">
        <f>'Summary Resources'!AB622+('Summary Resources'!AB597*$A$16)</f>
        <v>0</v>
      </c>
      <c r="Q25" s="182">
        <f>'Summary Resources'!AB671+('Summary Resources'!AB646*$A$16)</f>
        <v>0</v>
      </c>
      <c r="R25" s="182">
        <f>'Summary Resources'!AB720+('Summary Resources'!AB695*$A$16)</f>
        <v>7.2135869038657949</v>
      </c>
      <c r="S25" s="182">
        <f>'Summary Resources'!AB769+('Summary Resources'!AB744*$A$16)</f>
        <v>0</v>
      </c>
      <c r="T25" s="182">
        <f>'Summary Resources'!AB818+('Summary Resources'!AB793*$A$16)</f>
        <v>0</v>
      </c>
      <c r="U25" s="182">
        <f>'Summary Resources'!AB867+('Summary Resources'!AB842*$A$16)</f>
        <v>0</v>
      </c>
      <c r="W25" s="133">
        <f t="shared" si="17"/>
        <v>0</v>
      </c>
      <c r="X25" s="133">
        <f t="shared" si="3"/>
        <v>10.754094326399382</v>
      </c>
      <c r="Y25" s="133">
        <f t="shared" si="4"/>
        <v>0</v>
      </c>
      <c r="Z25" s="133">
        <f t="shared" si="5"/>
        <v>0</v>
      </c>
      <c r="AA25" s="133">
        <f t="shared" si="6"/>
        <v>0</v>
      </c>
      <c r="AB25" s="133">
        <f t="shared" si="7"/>
        <v>5.3359045534416127</v>
      </c>
      <c r="AC25" s="133">
        <f t="shared" si="8"/>
        <v>0</v>
      </c>
      <c r="AD25" s="133">
        <f t="shared" si="9"/>
        <v>0</v>
      </c>
      <c r="AE25" s="133">
        <f t="shared" si="10"/>
        <v>7.2135869038657949</v>
      </c>
      <c r="AF25" s="133">
        <f t="shared" si="11"/>
        <v>0</v>
      </c>
      <c r="AG25" s="133">
        <f t="shared" si="12"/>
        <v>0</v>
      </c>
      <c r="AH25" s="133">
        <f t="shared" si="13"/>
        <v>0</v>
      </c>
      <c r="AI25" s="133">
        <f t="shared" si="14"/>
        <v>0</v>
      </c>
      <c r="AJ25" s="133">
        <f t="shared" si="15"/>
        <v>7.2135869038657949</v>
      </c>
      <c r="AK25" s="133">
        <f t="shared" si="16"/>
        <v>0</v>
      </c>
      <c r="AL25" s="133">
        <f t="shared" si="16"/>
        <v>0</v>
      </c>
      <c r="AM25" s="133">
        <f t="shared" si="16"/>
        <v>0</v>
      </c>
    </row>
    <row r="26" spans="3:39" x14ac:dyDescent="0.2">
      <c r="C26" s="179" t="s">
        <v>18</v>
      </c>
      <c r="D26" s="181">
        <f>'Summary Resources'!AB38+('Summary Resources'!AB13*$A$16)</f>
        <v>23.791289225123094</v>
      </c>
      <c r="E26" s="181">
        <f>'Summary Resources'!AB86+('Summary Resources'!AB61*$A$16)</f>
        <v>25.118190845629879</v>
      </c>
      <c r="F26" s="182">
        <f>'Summary Resources'!AB134+('Summary Resources'!AB109*$A$16)</f>
        <v>23.791289225123094</v>
      </c>
      <c r="G26" s="182">
        <f>'Summary Resources'!AB182+('Summary Resources'!AB157*$A$16)</f>
        <v>23.791289225123094</v>
      </c>
      <c r="H26" s="182">
        <f>'Summary Resources'!AB231+('Summary Resources'!AB206*$A$16)</f>
        <v>22</v>
      </c>
      <c r="I26" s="182">
        <f>'Summary Resources'!AB280+('Summary Resources'!AB255*$A$16)</f>
        <v>24.209174347145417</v>
      </c>
      <c r="J26" s="182">
        <f>'Summary Resources'!AB329+('Summary Resources'!AB304*$A$16)</f>
        <v>24.209115723771156</v>
      </c>
      <c r="K26" s="182">
        <f>'Summary Resources'!AB378+('Summary Resources'!AB353*$A$16)</f>
        <v>23.880317173038627</v>
      </c>
      <c r="L26" s="182">
        <f>'Summary Resources'!AB427+('Summary Resources'!AB402*$A$16)</f>
        <v>23.791289225123094</v>
      </c>
      <c r="M26" s="182">
        <f>'Summary Resources'!AB476+('Summary Resources'!AB451*$A$16)</f>
        <v>23.791289225123094</v>
      </c>
      <c r="N26" s="182">
        <f>'Summary Resources'!AB525+('Summary Resources'!AB500*$A$16)</f>
        <v>24.105672029128165</v>
      </c>
      <c r="O26" s="182">
        <f>'Summary Resources'!AB574+('Summary Resources'!AB549*$A$16)</f>
        <v>23.929089873470414</v>
      </c>
      <c r="P26" s="182">
        <f>'Summary Resources'!AB623+('Summary Resources'!AB598*$A$16)</f>
        <v>25.562931378101936</v>
      </c>
      <c r="Q26" s="182">
        <f>'Summary Resources'!AB672+('Summary Resources'!AB647*$A$16)</f>
        <v>25.930487212529144</v>
      </c>
      <c r="R26" s="182">
        <f>'Summary Resources'!AB721+('Summary Resources'!AB696*$A$16)</f>
        <v>27.128759603042106</v>
      </c>
      <c r="S26" s="182">
        <f>'Summary Resources'!AB770+('Summary Resources'!AB745*$A$16)</f>
        <v>24.209174347145417</v>
      </c>
      <c r="T26" s="182">
        <f>'Summary Resources'!AB819+('Summary Resources'!AB794*$A$16)</f>
        <v>23.601973605387542</v>
      </c>
      <c r="U26" s="182">
        <f>'Summary Resources'!AB868+('Summary Resources'!AB843*$A$16)</f>
        <v>24.97265660389338</v>
      </c>
      <c r="W26" s="133">
        <f t="shared" si="17"/>
        <v>1.326901620506785</v>
      </c>
      <c r="X26" s="133">
        <f t="shared" si="3"/>
        <v>0</v>
      </c>
      <c r="Y26" s="133">
        <f t="shared" si="4"/>
        <v>0</v>
      </c>
      <c r="Z26" s="133">
        <f t="shared" si="5"/>
        <v>-1.7912892251230943</v>
      </c>
      <c r="AA26" s="133">
        <f t="shared" si="6"/>
        <v>0.41788512202232297</v>
      </c>
      <c r="AB26" s="133">
        <f t="shared" si="7"/>
        <v>0.41782649864806132</v>
      </c>
      <c r="AC26" s="133">
        <f t="shared" si="8"/>
        <v>8.9027947915532479E-2</v>
      </c>
      <c r="AD26" s="133">
        <f t="shared" si="9"/>
        <v>0</v>
      </c>
      <c r="AE26" s="133">
        <f t="shared" si="10"/>
        <v>0</v>
      </c>
      <c r="AF26" s="133">
        <f t="shared" si="11"/>
        <v>0.31438280400507068</v>
      </c>
      <c r="AG26" s="133">
        <f t="shared" si="12"/>
        <v>0.13780064834731931</v>
      </c>
      <c r="AH26" s="133">
        <f t="shared" si="13"/>
        <v>1.771642152978842</v>
      </c>
      <c r="AI26" s="133">
        <f t="shared" si="14"/>
        <v>2.1391979874060496</v>
      </c>
      <c r="AJ26" s="133">
        <f t="shared" si="15"/>
        <v>3.3374703779190114</v>
      </c>
      <c r="AK26" s="133">
        <f t="shared" si="16"/>
        <v>0.41788512202232297</v>
      </c>
      <c r="AL26" s="133">
        <f t="shared" si="16"/>
        <v>-0.18931561973555233</v>
      </c>
      <c r="AM26" s="133">
        <f t="shared" si="16"/>
        <v>1.1813673787702861</v>
      </c>
    </row>
    <row r="27" spans="3:39" x14ac:dyDescent="0.2">
      <c r="C27" s="179" t="s">
        <v>19</v>
      </c>
      <c r="D27" s="181">
        <f>'Summary Resources'!AB39+('Summary Resources'!AB14*$A$16)</f>
        <v>24.413026616784876</v>
      </c>
      <c r="E27" s="181">
        <f>'Summary Resources'!AB87+('Summary Resources'!AB62*$A$16)</f>
        <v>26.096029169834939</v>
      </c>
      <c r="F27" s="182">
        <f>'Summary Resources'!AB135+('Summary Resources'!AB110*$A$16)</f>
        <v>24.413026616784876</v>
      </c>
      <c r="G27" s="182">
        <f>'Summary Resources'!AB183+('Summary Resources'!AB158*$A$16)</f>
        <v>24.413026616784876</v>
      </c>
      <c r="H27" s="182">
        <f>'Summary Resources'!AB232+('Summary Resources'!AB207*$A$16)</f>
        <v>21</v>
      </c>
      <c r="I27" s="182">
        <f>'Summary Resources'!AB281+('Summary Resources'!AB256*$A$16)</f>
        <v>25.784365609757245</v>
      </c>
      <c r="J27" s="182">
        <f>'Summary Resources'!AB330+('Summary Resources'!AB305*$A$16)</f>
        <v>25.509596123094578</v>
      </c>
      <c r="K27" s="182">
        <f>'Summary Resources'!AB379+('Summary Resources'!AB354*$A$16)</f>
        <v>24.440742052898461</v>
      </c>
      <c r="L27" s="182">
        <f>'Summary Resources'!AB428+('Summary Resources'!AB403*$A$16)</f>
        <v>24.413026616784876</v>
      </c>
      <c r="M27" s="182">
        <f>'Summary Resources'!AB477+('Summary Resources'!AB452*$A$16)</f>
        <v>24.413026616784876</v>
      </c>
      <c r="N27" s="182">
        <f>'Summary Resources'!AB526+('Summary Resources'!AB501*$A$16)</f>
        <v>24.966902321327037</v>
      </c>
      <c r="O27" s="182">
        <f>'Summary Resources'!AB575+('Summary Resources'!AB550*$A$16)</f>
        <v>24.487599077829206</v>
      </c>
      <c r="P27" s="182">
        <f>'Summary Resources'!AB624+('Summary Resources'!AB599*$A$16)</f>
        <v>24.636271856531128</v>
      </c>
      <c r="Q27" s="182">
        <f>'Summary Resources'!AB673+('Summary Resources'!AB648*$A$16)</f>
        <v>26.071281675398691</v>
      </c>
      <c r="R27" s="182">
        <f>'Summary Resources'!AB722+('Summary Resources'!AB697*$A$16)</f>
        <v>27.650219039665998</v>
      </c>
      <c r="S27" s="182">
        <f>'Summary Resources'!AB771+('Summary Resources'!AB746*$A$16)</f>
        <v>25.851942063350638</v>
      </c>
      <c r="T27" s="182">
        <f>'Summary Resources'!AB820+('Summary Resources'!AB795*$A$16)</f>
        <v>24.191600301255939</v>
      </c>
      <c r="U27" s="182">
        <f>'Summary Resources'!AB869+('Summary Resources'!AB844*$A$16)</f>
        <v>25.092716681384317</v>
      </c>
      <c r="W27" s="133">
        <f t="shared" si="17"/>
        <v>1.6830025530500627</v>
      </c>
      <c r="X27" s="133">
        <f t="shared" si="3"/>
        <v>0</v>
      </c>
      <c r="Y27" s="133">
        <f t="shared" si="4"/>
        <v>0</v>
      </c>
      <c r="Z27" s="133">
        <f t="shared" si="5"/>
        <v>-3.413026616784876</v>
      </c>
      <c r="AA27" s="133">
        <f t="shared" si="6"/>
        <v>1.3713389929723689</v>
      </c>
      <c r="AB27" s="133">
        <f t="shared" si="7"/>
        <v>1.0965695063097023</v>
      </c>
      <c r="AC27" s="133">
        <f t="shared" si="8"/>
        <v>2.7715436113584957E-2</v>
      </c>
      <c r="AD27" s="133">
        <f t="shared" si="9"/>
        <v>0</v>
      </c>
      <c r="AE27" s="133">
        <f t="shared" si="10"/>
        <v>0</v>
      </c>
      <c r="AF27" s="133">
        <f t="shared" si="11"/>
        <v>0.55387570454216117</v>
      </c>
      <c r="AG27" s="133">
        <f t="shared" si="12"/>
        <v>7.4572461044329685E-2</v>
      </c>
      <c r="AH27" s="133">
        <f t="shared" si="13"/>
        <v>0.22324523974625166</v>
      </c>
      <c r="AI27" s="133">
        <f t="shared" si="14"/>
        <v>1.6582550586138147</v>
      </c>
      <c r="AJ27" s="133">
        <f t="shared" si="15"/>
        <v>3.2371924228811224</v>
      </c>
      <c r="AK27" s="133">
        <f t="shared" si="16"/>
        <v>1.4389154465657619</v>
      </c>
      <c r="AL27" s="133">
        <f t="shared" si="16"/>
        <v>-0.22142631552893732</v>
      </c>
      <c r="AM27" s="133">
        <f t="shared" si="16"/>
        <v>0.67969006459944126</v>
      </c>
    </row>
    <row r="29" spans="3:39" x14ac:dyDescent="0.2">
      <c r="C29" s="130" t="s">
        <v>216</v>
      </c>
      <c r="D29" s="142">
        <f>SUM(D4:D27)</f>
        <v>2322.2880368657547</v>
      </c>
      <c r="E29" s="142">
        <f t="shared" ref="E29:S29" si="18">SUM(E4:E27)</f>
        <v>2275.8658511104582</v>
      </c>
      <c r="F29" s="142">
        <f t="shared" si="18"/>
        <v>1621.7703304547465</v>
      </c>
      <c r="G29" s="142">
        <f t="shared" si="18"/>
        <v>163.87392488739079</v>
      </c>
      <c r="H29" s="142">
        <f t="shared" si="18"/>
        <v>1788</v>
      </c>
      <c r="I29" s="142">
        <f t="shared" si="18"/>
        <v>2575.725508695291</v>
      </c>
      <c r="J29" s="142">
        <f t="shared" si="18"/>
        <v>2590.85172088746</v>
      </c>
      <c r="K29" s="142">
        <f t="shared" si="18"/>
        <v>2213.9308318162275</v>
      </c>
      <c r="L29" s="142">
        <f t="shared" si="18"/>
        <v>2159.3531026719634</v>
      </c>
      <c r="M29" s="142">
        <f t="shared" si="18"/>
        <v>2575.3075153762798</v>
      </c>
      <c r="N29" s="142">
        <f t="shared" si="18"/>
        <v>3263.4696152759498</v>
      </c>
      <c r="O29" s="142">
        <f t="shared" si="18"/>
        <v>4053.6995181279967</v>
      </c>
      <c r="P29" s="142">
        <f t="shared" si="18"/>
        <v>3534.3168767262205</v>
      </c>
      <c r="Q29" s="142">
        <f t="shared" si="18"/>
        <v>4577.8547489748562</v>
      </c>
      <c r="R29" s="142">
        <f t="shared" si="18"/>
        <v>2728.5213768048075</v>
      </c>
      <c r="S29" s="142">
        <f t="shared" si="18"/>
        <v>2397.1425153065379</v>
      </c>
      <c r="T29" s="142">
        <f t="shared" ref="T29:U29" si="19">SUM(T4:T27)</f>
        <v>3063.4089721644682</v>
      </c>
      <c r="U29" s="142">
        <f t="shared" si="19"/>
        <v>2593.4100435649816</v>
      </c>
    </row>
    <row r="30" spans="3:39" x14ac:dyDescent="0.2">
      <c r="C30" s="130" t="s">
        <v>165</v>
      </c>
      <c r="D30" s="142">
        <f>SUM('Summary Resources'!AB4:AB39)</f>
        <v>2322.2880368657547</v>
      </c>
      <c r="E30" s="142">
        <f>SUM('Summary Resources'!AB52:AB87)</f>
        <v>2275.8658511104582</v>
      </c>
      <c r="F30" s="142">
        <f>SUM('Summary Resources'!AB100:AB135)</f>
        <v>1621.7703304547467</v>
      </c>
      <c r="G30" s="142">
        <f>SUM('Summary Resources'!AB148:AB183)</f>
        <v>163.87392488739079</v>
      </c>
      <c r="H30" s="142">
        <f>SUM('Summary Resources'!AB197:AB232)</f>
        <v>1788</v>
      </c>
      <c r="I30" s="142">
        <f>SUM('Summary Resources'!AB246:AB281)</f>
        <v>2575.7255086952914</v>
      </c>
      <c r="J30" s="142">
        <f>SUM('Summary Resources'!AB295:AB330)</f>
        <v>2590.85172088746</v>
      </c>
      <c r="K30" s="142">
        <f>SUM('Summary Resources'!AB344:AB379)</f>
        <v>2213.9308318162275</v>
      </c>
      <c r="L30" s="142">
        <f>SUM('Summary Resources'!AB393:AB428)</f>
        <v>2159.3531026719629</v>
      </c>
      <c r="M30" s="142">
        <f>SUM('Summary Resources'!AB442:AB477)</f>
        <v>2575.3075153762793</v>
      </c>
      <c r="N30" s="142">
        <f>SUM('Summary Resources'!AB491:AB526)</f>
        <v>3263.4696152759502</v>
      </c>
      <c r="O30" s="142">
        <f>SUM('Summary Resources'!AB540:AB575)</f>
        <v>4053.6995181279967</v>
      </c>
      <c r="P30" s="142">
        <f>SUM('Summary Resources'!AB589:AB624)</f>
        <v>3534.3168767262205</v>
      </c>
      <c r="Q30" s="142">
        <f>SUM('Summary Resources'!AB638:AB673)</f>
        <v>4577.8547489748553</v>
      </c>
      <c r="R30" s="142">
        <f>SUM('Summary Resources'!AB687:AB722)</f>
        <v>2728.5213768048079</v>
      </c>
      <c r="S30" s="142">
        <f>SUM('Summary Resources'!AB736:AB771)</f>
        <v>2397.1425153065384</v>
      </c>
      <c r="T30" s="142">
        <f>SUM('Summary Resources'!AB785:AB820)</f>
        <v>3063.4089721644682</v>
      </c>
      <c r="U30" s="142">
        <f>SUM('Summary Resources'!AB834:AB869)</f>
        <v>2593.4100435649816</v>
      </c>
    </row>
    <row r="35" spans="3:10" x14ac:dyDescent="0.2">
      <c r="D35" s="200" t="s">
        <v>9</v>
      </c>
      <c r="E35" s="200"/>
      <c r="F35" s="200"/>
      <c r="H35" s="200" t="s">
        <v>8</v>
      </c>
      <c r="I35" s="200"/>
      <c r="J35" s="200"/>
    </row>
    <row r="36" spans="3:10" ht="63.75" x14ac:dyDescent="0.2">
      <c r="C36" s="190" t="s">
        <v>266</v>
      </c>
      <c r="D36" s="190" t="str">
        <f>D2</f>
        <v>1- Preferred Resource Strategy</v>
      </c>
      <c r="E36" s="190" t="str">
        <f>U2</f>
        <v>18- National GHG Pricing</v>
      </c>
      <c r="F36" s="190" t="s">
        <v>265</v>
      </c>
      <c r="H36" s="190" t="str">
        <f>H2</f>
        <v>5- No CETA/ No new NG</v>
      </c>
      <c r="I36" s="190" t="str">
        <f>Y2</f>
        <v>4- No Resource Additions</v>
      </c>
      <c r="J36" s="190" t="s">
        <v>265</v>
      </c>
    </row>
    <row r="37" spans="3:10" x14ac:dyDescent="0.2">
      <c r="C37" s="179" t="s">
        <v>12</v>
      </c>
      <c r="D37" s="182">
        <f t="shared" ref="D37:D47" si="20">D4</f>
        <v>0</v>
      </c>
      <c r="E37" s="182">
        <f t="shared" ref="E37:E47" si="21">U4</f>
        <v>0</v>
      </c>
      <c r="F37" s="182">
        <f>E37-D37</f>
        <v>0</v>
      </c>
      <c r="H37" s="182">
        <f t="shared" ref="H37:H47" si="22">D17</f>
        <v>303.51322470283066</v>
      </c>
      <c r="I37" s="182">
        <f t="shared" ref="I37:I47" si="23">U17</f>
        <v>276.76250695357692</v>
      </c>
      <c r="J37" s="182">
        <f t="shared" ref="J37:J47" si="24">I37-H37</f>
        <v>-26.750717749253738</v>
      </c>
    </row>
    <row r="38" spans="3:10" x14ac:dyDescent="0.2">
      <c r="C38" s="179" t="s">
        <v>13</v>
      </c>
      <c r="D38" s="182">
        <f t="shared" si="20"/>
        <v>9.718348238575885</v>
      </c>
      <c r="E38" s="182">
        <f t="shared" si="21"/>
        <v>9.9743072601517042</v>
      </c>
      <c r="F38" s="182">
        <f t="shared" ref="F38:F47" si="25">E38-D38</f>
        <v>0.25595902157581918</v>
      </c>
      <c r="H38" s="182">
        <f t="shared" si="22"/>
        <v>0</v>
      </c>
      <c r="I38" s="182">
        <f t="shared" si="23"/>
        <v>0</v>
      </c>
      <c r="J38" s="182">
        <f t="shared" si="24"/>
        <v>0</v>
      </c>
    </row>
    <row r="39" spans="3:10" x14ac:dyDescent="0.2">
      <c r="C39" s="179" t="s">
        <v>14</v>
      </c>
      <c r="D39" s="182">
        <f t="shared" si="20"/>
        <v>0.31806041052529266</v>
      </c>
      <c r="E39" s="182">
        <f t="shared" si="21"/>
        <v>0.10382300201334667</v>
      </c>
      <c r="F39" s="182">
        <f t="shared" si="25"/>
        <v>-0.214237408511946</v>
      </c>
      <c r="H39" s="182">
        <f t="shared" si="22"/>
        <v>0</v>
      </c>
      <c r="I39" s="182">
        <f t="shared" si="23"/>
        <v>0</v>
      </c>
      <c r="J39" s="182">
        <f t="shared" si="24"/>
        <v>0</v>
      </c>
    </row>
    <row r="40" spans="3:10" x14ac:dyDescent="0.2">
      <c r="C40" s="179" t="s">
        <v>15</v>
      </c>
      <c r="D40" s="182">
        <f t="shared" si="20"/>
        <v>944.71812048604238</v>
      </c>
      <c r="E40" s="182">
        <f t="shared" si="21"/>
        <v>1144.9999999999875</v>
      </c>
      <c r="F40" s="182">
        <f t="shared" si="25"/>
        <v>200.28187951394511</v>
      </c>
      <c r="H40" s="182">
        <f t="shared" si="22"/>
        <v>0</v>
      </c>
      <c r="I40" s="182">
        <f t="shared" si="23"/>
        <v>0</v>
      </c>
      <c r="J40" s="182">
        <f t="shared" si="24"/>
        <v>0</v>
      </c>
    </row>
    <row r="41" spans="3:10" x14ac:dyDescent="0.2">
      <c r="C41" s="179" t="s">
        <v>16</v>
      </c>
      <c r="D41" s="182">
        <f t="shared" si="20"/>
        <v>129.9679886974294</v>
      </c>
      <c r="E41" s="182">
        <f t="shared" si="21"/>
        <v>469.07714220428988</v>
      </c>
      <c r="F41" s="182">
        <f t="shared" si="25"/>
        <v>339.10915350686048</v>
      </c>
      <c r="H41" s="182">
        <f t="shared" si="22"/>
        <v>66.924947499797682</v>
      </c>
      <c r="I41" s="182">
        <f t="shared" si="23"/>
        <v>119.15314212178265</v>
      </c>
      <c r="J41" s="182">
        <f t="shared" si="24"/>
        <v>52.228194621984969</v>
      </c>
    </row>
    <row r="42" spans="3:10" x14ac:dyDescent="0.2">
      <c r="C42" s="179" t="s">
        <v>85</v>
      </c>
      <c r="D42" s="182">
        <f t="shared" si="20"/>
        <v>696.48677529716929</v>
      </c>
      <c r="E42" s="182">
        <f t="shared" si="21"/>
        <v>318.23749304642388</v>
      </c>
      <c r="F42" s="182">
        <f t="shared" si="25"/>
        <v>-378.24928225074541</v>
      </c>
      <c r="H42" s="182">
        <f t="shared" si="22"/>
        <v>0</v>
      </c>
      <c r="I42" s="182">
        <f t="shared" si="23"/>
        <v>0</v>
      </c>
      <c r="J42" s="182">
        <f t="shared" si="24"/>
        <v>0</v>
      </c>
    </row>
    <row r="43" spans="3:10" x14ac:dyDescent="0.2">
      <c r="C43" s="179" t="s">
        <v>86</v>
      </c>
      <c r="D43" s="182">
        <f t="shared" si="20"/>
        <v>0</v>
      </c>
      <c r="E43" s="182">
        <f t="shared" si="21"/>
        <v>77.599999999999994</v>
      </c>
      <c r="F43" s="182">
        <f t="shared" si="25"/>
        <v>77.599999999999994</v>
      </c>
      <c r="H43" s="182">
        <f t="shared" si="22"/>
        <v>0</v>
      </c>
      <c r="I43" s="182">
        <f t="shared" si="23"/>
        <v>0</v>
      </c>
      <c r="J43" s="182">
        <f t="shared" si="24"/>
        <v>0</v>
      </c>
    </row>
    <row r="44" spans="3:10" x14ac:dyDescent="0.2">
      <c r="C44" s="179" t="s">
        <v>87</v>
      </c>
      <c r="D44" s="182">
        <f t="shared" si="20"/>
        <v>0</v>
      </c>
      <c r="E44" s="182">
        <f t="shared" si="21"/>
        <v>3.22</v>
      </c>
      <c r="F44" s="182">
        <f t="shared" si="25"/>
        <v>3.22</v>
      </c>
      <c r="H44" s="182">
        <f t="shared" si="22"/>
        <v>0</v>
      </c>
      <c r="I44" s="182">
        <f t="shared" si="23"/>
        <v>1.7799999999999998</v>
      </c>
      <c r="J44" s="182">
        <f t="shared" si="24"/>
        <v>1.7799999999999998</v>
      </c>
    </row>
    <row r="45" spans="3:10" x14ac:dyDescent="0.2">
      <c r="C45" s="179" t="s">
        <v>17</v>
      </c>
      <c r="D45" s="182">
        <f t="shared" si="20"/>
        <v>6.7666466459931875</v>
      </c>
      <c r="E45" s="182">
        <f t="shared" si="21"/>
        <v>6.7666466459931875</v>
      </c>
      <c r="F45" s="182">
        <f t="shared" si="25"/>
        <v>0</v>
      </c>
      <c r="H45" s="182">
        <f t="shared" si="22"/>
        <v>0</v>
      </c>
      <c r="I45" s="182">
        <f t="shared" si="23"/>
        <v>0</v>
      </c>
      <c r="J45" s="182">
        <f t="shared" si="24"/>
        <v>0</v>
      </c>
    </row>
    <row r="46" spans="3:10" x14ac:dyDescent="0.2">
      <c r="C46" s="179" t="s">
        <v>18</v>
      </c>
      <c r="D46" s="182">
        <f t="shared" si="20"/>
        <v>56.613243595584777</v>
      </c>
      <c r="E46" s="182">
        <f t="shared" si="21"/>
        <v>56.613243595585004</v>
      </c>
      <c r="F46" s="182">
        <f t="shared" si="25"/>
        <v>2.2737367544323206E-13</v>
      </c>
      <c r="H46" s="182">
        <f t="shared" si="22"/>
        <v>23.791289225123094</v>
      </c>
      <c r="I46" s="182">
        <f t="shared" si="23"/>
        <v>24.97265660389338</v>
      </c>
      <c r="J46" s="182">
        <f t="shared" si="24"/>
        <v>1.1813673787702861</v>
      </c>
    </row>
    <row r="47" spans="3:10" x14ac:dyDescent="0.2">
      <c r="C47" s="179" t="s">
        <v>19</v>
      </c>
      <c r="D47" s="182">
        <f t="shared" si="20"/>
        <v>59.056365449898053</v>
      </c>
      <c r="E47" s="182">
        <f t="shared" si="21"/>
        <v>59.056365449899182</v>
      </c>
      <c r="F47" s="182">
        <f t="shared" si="25"/>
        <v>1.1297629498585593E-12</v>
      </c>
      <c r="H47" s="182">
        <f t="shared" si="22"/>
        <v>24.413026616784876</v>
      </c>
      <c r="I47" s="182">
        <f t="shared" si="23"/>
        <v>25.092716681384317</v>
      </c>
      <c r="J47" s="182">
        <f t="shared" si="24"/>
        <v>0.67969006459944126</v>
      </c>
    </row>
  </sheetData>
  <mergeCells count="2">
    <mergeCell ref="D35:F35"/>
    <mergeCell ref="H35:J35"/>
  </mergeCells>
  <conditionalFormatting sqref="W4:AM2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U127"/>
  <sheetViews>
    <sheetView topLeftCell="A55" zoomScale="70" zoomScaleNormal="70" workbookViewId="0">
      <selection activeCell="H111" sqref="H111"/>
    </sheetView>
  </sheetViews>
  <sheetFormatPr defaultRowHeight="15" x14ac:dyDescent="0.25"/>
  <cols>
    <col min="1" max="1" width="34" bestFit="1" customWidth="1"/>
    <col min="2" max="2" width="34.28515625" customWidth="1"/>
    <col min="3" max="3" width="8.7109375" customWidth="1"/>
    <col min="4" max="24" width="9.140625" customWidth="1"/>
    <col min="25" max="25" width="9.42578125" customWidth="1"/>
    <col min="26" max="26" width="4" customWidth="1"/>
    <col min="27" max="27" width="9.140625" customWidth="1"/>
    <col min="28" max="28" width="10.5703125" customWidth="1"/>
    <col min="29" max="34" width="7.42578125" bestFit="1" customWidth="1"/>
    <col min="35" max="35" width="7.140625" bestFit="1" customWidth="1"/>
    <col min="36" max="44" width="7.42578125" bestFit="1" customWidth="1"/>
    <col min="45" max="45" width="7.140625" bestFit="1" customWidth="1"/>
    <col min="46" max="49" width="7.42578125" bestFit="1" customWidth="1"/>
    <col min="51" max="58" width="7.42578125" bestFit="1" customWidth="1"/>
    <col min="59" max="59" width="7.140625" bestFit="1" customWidth="1"/>
    <col min="60" max="68" width="7.42578125" bestFit="1" customWidth="1"/>
    <col min="69" max="69" width="7.140625" bestFit="1" customWidth="1"/>
    <col min="70" max="73" width="7.42578125" bestFit="1" customWidth="1"/>
  </cols>
  <sheetData>
    <row r="1" spans="1:73" x14ac:dyDescent="0.25">
      <c r="B1" t="s">
        <v>1</v>
      </c>
      <c r="C1" s="98">
        <v>0.65649999999999997</v>
      </c>
    </row>
    <row r="2" spans="1:73" x14ac:dyDescent="0.25">
      <c r="B2" t="s">
        <v>2</v>
      </c>
      <c r="C2" s="78">
        <f>1-C1</f>
        <v>0.34350000000000003</v>
      </c>
    </row>
    <row r="4" spans="1:73" x14ac:dyDescent="0.25">
      <c r="C4" s="201" t="s">
        <v>89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88"/>
      <c r="AA4" s="201" t="s">
        <v>90</v>
      </c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89"/>
      <c r="AY4" s="201" t="s">
        <v>91</v>
      </c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</row>
    <row r="5" spans="1:73" x14ac:dyDescent="0.25">
      <c r="C5" s="90">
        <v>2023</v>
      </c>
      <c r="D5" s="90">
        <v>2024</v>
      </c>
      <c r="E5" s="90">
        <v>2025</v>
      </c>
      <c r="F5" s="90">
        <v>2026</v>
      </c>
      <c r="G5" s="90">
        <v>2027</v>
      </c>
      <c r="H5" s="90">
        <v>2028</v>
      </c>
      <c r="I5" s="90">
        <v>2029</v>
      </c>
      <c r="J5" s="90">
        <v>2030</v>
      </c>
      <c r="K5" s="90">
        <v>2031</v>
      </c>
      <c r="L5" s="90">
        <v>2032</v>
      </c>
      <c r="M5" s="90">
        <v>2033</v>
      </c>
      <c r="N5" s="90">
        <v>2034</v>
      </c>
      <c r="O5" s="90">
        <v>2035</v>
      </c>
      <c r="P5" s="90">
        <v>2036</v>
      </c>
      <c r="Q5" s="90">
        <v>2037</v>
      </c>
      <c r="R5" s="90">
        <v>2038</v>
      </c>
      <c r="S5" s="90">
        <v>2039</v>
      </c>
      <c r="T5" s="90">
        <v>2040</v>
      </c>
      <c r="U5" s="90">
        <v>2041</v>
      </c>
      <c r="V5" s="90">
        <v>2042</v>
      </c>
      <c r="W5" s="90">
        <v>2043</v>
      </c>
      <c r="X5" s="90">
        <v>2044</v>
      </c>
      <c r="Y5" s="90">
        <v>2045</v>
      </c>
      <c r="Z5" s="91"/>
      <c r="AA5" s="90">
        <v>2023</v>
      </c>
      <c r="AB5" s="90">
        <v>2024</v>
      </c>
      <c r="AC5" s="90">
        <v>2025</v>
      </c>
      <c r="AD5" s="90">
        <v>2026</v>
      </c>
      <c r="AE5" s="90">
        <v>2027</v>
      </c>
      <c r="AF5" s="90">
        <v>2028</v>
      </c>
      <c r="AG5" s="90">
        <v>2029</v>
      </c>
      <c r="AH5" s="90">
        <v>2030</v>
      </c>
      <c r="AI5" s="90">
        <v>2031</v>
      </c>
      <c r="AJ5" s="90">
        <v>2032</v>
      </c>
      <c r="AK5" s="90">
        <v>2033</v>
      </c>
      <c r="AL5" s="90">
        <v>2034</v>
      </c>
      <c r="AM5" s="90">
        <v>2035</v>
      </c>
      <c r="AN5" s="90">
        <v>2036</v>
      </c>
      <c r="AO5" s="90">
        <v>2037</v>
      </c>
      <c r="AP5" s="90">
        <v>2038</v>
      </c>
      <c r="AQ5" s="90">
        <v>2039</v>
      </c>
      <c r="AR5" s="90">
        <v>2040</v>
      </c>
      <c r="AS5" s="90">
        <v>2041</v>
      </c>
      <c r="AT5" s="90">
        <v>2042</v>
      </c>
      <c r="AU5" s="90">
        <v>2043</v>
      </c>
      <c r="AV5" s="90">
        <v>2044</v>
      </c>
      <c r="AW5" s="90">
        <v>2045</v>
      </c>
      <c r="AX5" s="89"/>
      <c r="AY5" s="90">
        <v>2023</v>
      </c>
      <c r="AZ5" s="90">
        <v>2024</v>
      </c>
      <c r="BA5" s="90">
        <v>2025</v>
      </c>
      <c r="BB5" s="90">
        <v>2026</v>
      </c>
      <c r="BC5" s="90">
        <v>2027</v>
      </c>
      <c r="BD5" s="90">
        <v>2028</v>
      </c>
      <c r="BE5" s="90">
        <v>2029</v>
      </c>
      <c r="BF5" s="90">
        <v>2030</v>
      </c>
      <c r="BG5" s="90">
        <v>2031</v>
      </c>
      <c r="BH5" s="90">
        <v>2032</v>
      </c>
      <c r="BI5" s="90">
        <v>2033</v>
      </c>
      <c r="BJ5" s="90">
        <v>2034</v>
      </c>
      <c r="BK5" s="90">
        <v>2035</v>
      </c>
      <c r="BL5" s="90">
        <v>2036</v>
      </c>
      <c r="BM5" s="90">
        <v>2037</v>
      </c>
      <c r="BN5" s="90">
        <v>2038</v>
      </c>
      <c r="BO5" s="90">
        <v>2039</v>
      </c>
      <c r="BP5" s="90">
        <v>2040</v>
      </c>
      <c r="BQ5" s="90">
        <v>2041</v>
      </c>
      <c r="BR5" s="90">
        <v>2042</v>
      </c>
      <c r="BS5" s="90">
        <v>2043</v>
      </c>
      <c r="BT5" s="90">
        <v>2044</v>
      </c>
      <c r="BU5" s="90">
        <v>2045</v>
      </c>
    </row>
    <row r="6" spans="1:73" x14ac:dyDescent="0.25">
      <c r="A6" t="s">
        <v>154</v>
      </c>
      <c r="B6" t="s">
        <v>92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  <c r="S6" s="92">
        <v>0</v>
      </c>
      <c r="T6" s="92">
        <v>0</v>
      </c>
      <c r="U6" s="92">
        <v>0</v>
      </c>
      <c r="V6" s="92">
        <v>0</v>
      </c>
      <c r="W6" s="92">
        <v>0</v>
      </c>
      <c r="X6" s="92">
        <v>0</v>
      </c>
      <c r="Y6" s="92">
        <v>0</v>
      </c>
      <c r="Z6" s="93"/>
      <c r="AA6" s="94">
        <v>0</v>
      </c>
      <c r="AB6" s="94">
        <v>0</v>
      </c>
      <c r="AC6" s="94">
        <v>0</v>
      </c>
      <c r="AD6" s="94">
        <v>0</v>
      </c>
      <c r="AE6" s="94">
        <v>0</v>
      </c>
      <c r="AF6" s="94">
        <v>0</v>
      </c>
      <c r="AG6" s="94">
        <v>0</v>
      </c>
      <c r="AH6" s="94">
        <v>0</v>
      </c>
      <c r="AI6" s="94">
        <v>0</v>
      </c>
      <c r="AJ6" s="94">
        <v>0</v>
      </c>
      <c r="AK6" s="94">
        <v>0</v>
      </c>
      <c r="AL6" s="94">
        <v>90</v>
      </c>
      <c r="AM6" s="94">
        <v>0</v>
      </c>
      <c r="AN6" s="94">
        <v>0</v>
      </c>
      <c r="AO6" s="94">
        <v>0</v>
      </c>
      <c r="AP6" s="94">
        <v>0</v>
      </c>
      <c r="AQ6" s="94">
        <v>0</v>
      </c>
      <c r="AR6" s="94">
        <v>0</v>
      </c>
      <c r="AS6" s="94">
        <v>0</v>
      </c>
      <c r="AT6" s="94">
        <v>102</v>
      </c>
      <c r="AU6" s="94">
        <v>0</v>
      </c>
      <c r="AV6" s="94">
        <v>0</v>
      </c>
      <c r="AW6" s="94">
        <v>0</v>
      </c>
      <c r="AX6" s="93"/>
      <c r="AY6" s="47">
        <v>0</v>
      </c>
      <c r="AZ6" s="47">
        <v>0</v>
      </c>
      <c r="BA6" s="47">
        <v>0</v>
      </c>
      <c r="BB6" s="47">
        <v>0</v>
      </c>
      <c r="BC6" s="47">
        <v>0</v>
      </c>
      <c r="BD6" s="47">
        <v>0</v>
      </c>
      <c r="BE6" s="47">
        <v>0</v>
      </c>
      <c r="BF6" s="47">
        <v>0</v>
      </c>
      <c r="BG6" s="47">
        <v>0</v>
      </c>
      <c r="BH6" s="47">
        <v>0</v>
      </c>
      <c r="BI6" s="47">
        <v>0</v>
      </c>
      <c r="BJ6" s="47">
        <v>0</v>
      </c>
      <c r="BK6" s="47">
        <v>0</v>
      </c>
      <c r="BL6" s="47">
        <v>0</v>
      </c>
      <c r="BM6" s="47">
        <v>0</v>
      </c>
      <c r="BN6" s="47">
        <v>0</v>
      </c>
      <c r="BO6" s="47">
        <v>0</v>
      </c>
      <c r="BP6" s="47">
        <v>0</v>
      </c>
      <c r="BQ6" s="47">
        <v>0</v>
      </c>
      <c r="BR6" s="47">
        <v>0</v>
      </c>
      <c r="BS6" s="47">
        <v>0</v>
      </c>
      <c r="BT6" s="47">
        <v>0</v>
      </c>
      <c r="BU6" s="47">
        <v>0</v>
      </c>
    </row>
    <row r="7" spans="1:73" x14ac:dyDescent="0.25">
      <c r="A7" t="s">
        <v>154</v>
      </c>
      <c r="B7" t="s">
        <v>93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  <c r="S7" s="92">
        <v>0</v>
      </c>
      <c r="T7" s="92">
        <v>0</v>
      </c>
      <c r="U7" s="92">
        <v>0</v>
      </c>
      <c r="V7" s="92">
        <v>0</v>
      </c>
      <c r="W7" s="92">
        <v>0</v>
      </c>
      <c r="X7" s="92">
        <v>0</v>
      </c>
      <c r="Y7" s="92">
        <v>0</v>
      </c>
      <c r="Z7" s="93"/>
      <c r="AA7" s="94">
        <v>0</v>
      </c>
      <c r="AB7" s="94">
        <v>0</v>
      </c>
      <c r="AC7" s="94">
        <v>0</v>
      </c>
      <c r="AD7" s="94">
        <v>0</v>
      </c>
      <c r="AE7" s="94">
        <v>0</v>
      </c>
      <c r="AF7" s="94">
        <v>0</v>
      </c>
      <c r="AG7" s="94">
        <v>0</v>
      </c>
      <c r="AH7" s="94">
        <v>0</v>
      </c>
      <c r="AI7" s="94">
        <v>0</v>
      </c>
      <c r="AJ7" s="94">
        <v>0</v>
      </c>
      <c r="AK7" s="94">
        <v>0</v>
      </c>
      <c r="AL7" s="94">
        <v>0</v>
      </c>
      <c r="AM7" s="94">
        <v>0</v>
      </c>
      <c r="AN7" s="94">
        <v>0</v>
      </c>
      <c r="AO7" s="94">
        <v>0</v>
      </c>
      <c r="AP7" s="94">
        <v>0</v>
      </c>
      <c r="AQ7" s="94">
        <v>0</v>
      </c>
      <c r="AR7" s="94">
        <v>0</v>
      </c>
      <c r="AS7" s="94">
        <v>46</v>
      </c>
      <c r="AT7" s="94">
        <v>0</v>
      </c>
      <c r="AU7" s="94">
        <v>0</v>
      </c>
      <c r="AV7" s="94">
        <v>0</v>
      </c>
      <c r="AW7" s="94">
        <v>65</v>
      </c>
      <c r="AX7" s="93"/>
      <c r="AY7" s="47">
        <v>0</v>
      </c>
      <c r="AZ7" s="47">
        <v>0</v>
      </c>
      <c r="BA7" s="47">
        <v>0</v>
      </c>
      <c r="BB7" s="47">
        <v>0</v>
      </c>
      <c r="BC7" s="47">
        <v>0</v>
      </c>
      <c r="BD7" s="47">
        <v>0</v>
      </c>
      <c r="BE7" s="47">
        <v>0</v>
      </c>
      <c r="BF7" s="47">
        <v>0</v>
      </c>
      <c r="BG7" s="47">
        <v>0</v>
      </c>
      <c r="BH7" s="47">
        <v>0</v>
      </c>
      <c r="BI7" s="47">
        <v>0</v>
      </c>
      <c r="BJ7" s="47">
        <v>0</v>
      </c>
      <c r="BK7" s="47">
        <v>0</v>
      </c>
      <c r="BL7" s="47">
        <v>0</v>
      </c>
      <c r="BM7" s="47">
        <v>0</v>
      </c>
      <c r="BN7" s="47">
        <v>0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47">
        <v>0</v>
      </c>
    </row>
    <row r="8" spans="1:73" x14ac:dyDescent="0.25">
      <c r="A8" t="s">
        <v>154</v>
      </c>
      <c r="B8" s="95" t="s">
        <v>94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3"/>
      <c r="AA8" s="94">
        <v>0</v>
      </c>
      <c r="AB8" s="94">
        <v>0</v>
      </c>
      <c r="AC8" s="94">
        <v>0</v>
      </c>
      <c r="AD8" s="94">
        <v>0</v>
      </c>
      <c r="AE8" s="94">
        <v>0</v>
      </c>
      <c r="AF8" s="94">
        <v>0</v>
      </c>
      <c r="AG8" s="94">
        <v>0</v>
      </c>
      <c r="AH8" s="94">
        <v>0</v>
      </c>
      <c r="AI8" s="94">
        <v>0</v>
      </c>
      <c r="AJ8" s="94">
        <v>0</v>
      </c>
      <c r="AK8" s="94">
        <v>0</v>
      </c>
      <c r="AL8" s="94">
        <v>0</v>
      </c>
      <c r="AM8" s="94">
        <v>0</v>
      </c>
      <c r="AN8" s="94">
        <v>0</v>
      </c>
      <c r="AO8" s="94">
        <v>0</v>
      </c>
      <c r="AP8" s="94">
        <v>0</v>
      </c>
      <c r="AQ8" s="94">
        <v>0</v>
      </c>
      <c r="AR8" s="94">
        <v>0</v>
      </c>
      <c r="AS8" s="94">
        <v>0</v>
      </c>
      <c r="AT8" s="94">
        <v>0</v>
      </c>
      <c r="AU8" s="94">
        <v>0</v>
      </c>
      <c r="AV8" s="94">
        <v>0</v>
      </c>
      <c r="AW8" s="94">
        <v>0</v>
      </c>
      <c r="AX8" s="93"/>
      <c r="AY8" s="47">
        <v>0</v>
      </c>
      <c r="AZ8" s="47">
        <v>0</v>
      </c>
      <c r="BA8" s="47">
        <v>0</v>
      </c>
      <c r="BB8" s="47">
        <v>0</v>
      </c>
      <c r="BC8" s="47">
        <v>0</v>
      </c>
      <c r="BD8" s="47">
        <v>0</v>
      </c>
      <c r="BE8" s="47">
        <v>0</v>
      </c>
      <c r="BF8" s="47">
        <v>0</v>
      </c>
      <c r="BG8" s="47">
        <v>0</v>
      </c>
      <c r="BH8" s="47">
        <v>0</v>
      </c>
      <c r="BI8" s="47">
        <v>0</v>
      </c>
      <c r="BJ8" s="47">
        <v>0</v>
      </c>
      <c r="BK8" s="47">
        <v>0</v>
      </c>
      <c r="BL8" s="47">
        <v>0</v>
      </c>
      <c r="BM8" s="47">
        <v>0</v>
      </c>
      <c r="BN8" s="47">
        <v>0</v>
      </c>
      <c r="BO8" s="47">
        <v>0</v>
      </c>
      <c r="BP8" s="47">
        <v>0</v>
      </c>
      <c r="BQ8" s="47">
        <v>0</v>
      </c>
      <c r="BR8" s="47">
        <v>0</v>
      </c>
      <c r="BS8" s="47">
        <v>0</v>
      </c>
      <c r="BT8" s="47">
        <v>0</v>
      </c>
      <c r="BU8" s="47">
        <v>0</v>
      </c>
    </row>
    <row r="9" spans="1:73" x14ac:dyDescent="0.25">
      <c r="A9" t="s">
        <v>155</v>
      </c>
      <c r="B9" t="s">
        <v>95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3"/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</v>
      </c>
      <c r="AG9" s="94">
        <v>0</v>
      </c>
      <c r="AH9" s="94">
        <v>0</v>
      </c>
      <c r="AI9" s="94">
        <v>0</v>
      </c>
      <c r="AJ9" s="94">
        <v>0</v>
      </c>
      <c r="AK9" s="94">
        <v>0</v>
      </c>
      <c r="AL9" s="94">
        <v>0</v>
      </c>
      <c r="AM9" s="94">
        <v>0</v>
      </c>
      <c r="AN9" s="94">
        <v>0</v>
      </c>
      <c r="AO9" s="94">
        <v>0</v>
      </c>
      <c r="AP9" s="94">
        <v>0</v>
      </c>
      <c r="AQ9" s="94">
        <v>0</v>
      </c>
      <c r="AR9" s="94">
        <v>0</v>
      </c>
      <c r="AS9" s="94">
        <v>0</v>
      </c>
      <c r="AT9" s="94">
        <v>0</v>
      </c>
      <c r="AU9" s="94">
        <v>0</v>
      </c>
      <c r="AV9" s="94">
        <v>0</v>
      </c>
      <c r="AW9" s="94">
        <v>0</v>
      </c>
      <c r="AX9" s="93"/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0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0</v>
      </c>
      <c r="BT9" s="47">
        <v>0</v>
      </c>
      <c r="BU9" s="47">
        <v>0</v>
      </c>
    </row>
    <row r="10" spans="1:73" x14ac:dyDescent="0.25">
      <c r="A10" t="s">
        <v>157</v>
      </c>
      <c r="B10" t="s">
        <v>96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200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3"/>
      <c r="AA10" s="94">
        <v>0</v>
      </c>
      <c r="AB10" s="94">
        <v>0</v>
      </c>
      <c r="AC10" s="94">
        <v>0</v>
      </c>
      <c r="AD10" s="94">
        <v>0</v>
      </c>
      <c r="AE10" s="94">
        <v>0</v>
      </c>
      <c r="AF10" s="94">
        <v>0</v>
      </c>
      <c r="AG10" s="94">
        <v>0</v>
      </c>
      <c r="AH10" s="94">
        <v>0</v>
      </c>
      <c r="AI10" s="94">
        <v>0</v>
      </c>
      <c r="AJ10" s="94">
        <v>0</v>
      </c>
      <c r="AK10" s="94">
        <v>0</v>
      </c>
      <c r="AL10" s="94">
        <v>0</v>
      </c>
      <c r="AM10" s="94">
        <v>0</v>
      </c>
      <c r="AN10" s="94">
        <v>0</v>
      </c>
      <c r="AO10" s="94">
        <v>0</v>
      </c>
      <c r="AP10" s="94">
        <v>0</v>
      </c>
      <c r="AQ10" s="94">
        <v>0</v>
      </c>
      <c r="AR10" s="94">
        <v>0</v>
      </c>
      <c r="AS10" s="94">
        <v>0</v>
      </c>
      <c r="AT10" s="94">
        <v>0</v>
      </c>
      <c r="AU10" s="94">
        <v>0</v>
      </c>
      <c r="AV10" s="94">
        <v>0</v>
      </c>
      <c r="AW10" s="94">
        <v>0</v>
      </c>
      <c r="AX10" s="93"/>
      <c r="AY10" s="47">
        <v>0</v>
      </c>
      <c r="AZ10" s="47">
        <v>0</v>
      </c>
      <c r="BA10" s="47">
        <v>0</v>
      </c>
      <c r="BB10" s="47">
        <v>0</v>
      </c>
      <c r="BC10" s="47">
        <v>0</v>
      </c>
      <c r="BD10" s="47">
        <v>0</v>
      </c>
      <c r="BE10" s="47">
        <v>0</v>
      </c>
      <c r="BF10" s="47">
        <v>0</v>
      </c>
      <c r="BG10" s="47">
        <v>0</v>
      </c>
      <c r="BH10" s="47">
        <v>0</v>
      </c>
      <c r="BI10" s="47">
        <v>0</v>
      </c>
      <c r="BJ10" s="47">
        <v>0</v>
      </c>
      <c r="BK10" s="47">
        <v>0</v>
      </c>
      <c r="BL10" s="47">
        <v>0</v>
      </c>
      <c r="BM10" s="47">
        <v>0</v>
      </c>
      <c r="BN10" s="47">
        <v>0</v>
      </c>
      <c r="BO10" s="47">
        <v>0</v>
      </c>
      <c r="BP10" s="47">
        <v>0</v>
      </c>
      <c r="BQ10" s="47">
        <v>0</v>
      </c>
      <c r="BR10" s="47">
        <v>0</v>
      </c>
      <c r="BS10" s="47">
        <v>0</v>
      </c>
      <c r="BT10" s="47">
        <v>0</v>
      </c>
      <c r="BU10" s="47">
        <v>0</v>
      </c>
    </row>
    <row r="11" spans="1:73" x14ac:dyDescent="0.25">
      <c r="A11" t="s">
        <v>157</v>
      </c>
      <c r="B11" s="95" t="s">
        <v>97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100</v>
      </c>
      <c r="Y11" s="92">
        <v>199.7</v>
      </c>
      <c r="Z11" s="93"/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94">
        <v>0</v>
      </c>
      <c r="AG11" s="94">
        <v>0</v>
      </c>
      <c r="AH11" s="94">
        <v>0</v>
      </c>
      <c r="AI11" s="94">
        <v>0</v>
      </c>
      <c r="AJ11" s="94">
        <v>0</v>
      </c>
      <c r="AK11" s="94">
        <v>0</v>
      </c>
      <c r="AL11" s="94">
        <v>0</v>
      </c>
      <c r="AM11" s="94">
        <v>0</v>
      </c>
      <c r="AN11" s="94">
        <v>0</v>
      </c>
      <c r="AO11" s="94">
        <v>0</v>
      </c>
      <c r="AP11" s="94">
        <v>0</v>
      </c>
      <c r="AQ11" s="94">
        <v>0</v>
      </c>
      <c r="AR11" s="94">
        <v>0</v>
      </c>
      <c r="AS11" s="94">
        <v>0</v>
      </c>
      <c r="AT11" s="94">
        <v>0</v>
      </c>
      <c r="AU11" s="94">
        <v>0</v>
      </c>
      <c r="AV11" s="94">
        <v>0</v>
      </c>
      <c r="AW11" s="94">
        <v>0</v>
      </c>
      <c r="AX11" s="93"/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0</v>
      </c>
      <c r="BE11" s="47">
        <v>0</v>
      </c>
      <c r="BF11" s="47">
        <v>0</v>
      </c>
      <c r="BG11" s="47">
        <v>0</v>
      </c>
      <c r="BH11" s="47">
        <v>0</v>
      </c>
      <c r="BI11" s="47">
        <v>0</v>
      </c>
      <c r="BJ11" s="47">
        <v>0</v>
      </c>
      <c r="BK11" s="47">
        <v>0</v>
      </c>
      <c r="BL11" s="47">
        <v>0</v>
      </c>
      <c r="BM11" s="47">
        <v>0</v>
      </c>
      <c r="BN11" s="47">
        <v>0</v>
      </c>
      <c r="BO11" s="47">
        <v>0</v>
      </c>
      <c r="BP11" s="47">
        <v>0</v>
      </c>
      <c r="BQ11" s="47">
        <v>0</v>
      </c>
      <c r="BR11" s="47">
        <v>0</v>
      </c>
      <c r="BS11" s="47">
        <v>0</v>
      </c>
      <c r="BT11" s="47">
        <v>0</v>
      </c>
      <c r="BU11" s="47">
        <v>0</v>
      </c>
    </row>
    <row r="12" spans="1:73" x14ac:dyDescent="0.25">
      <c r="A12" t="s">
        <v>156</v>
      </c>
      <c r="B12" t="s">
        <v>98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200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3"/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94">
        <v>0</v>
      </c>
      <c r="AG12" s="94">
        <v>0</v>
      </c>
      <c r="AH12" s="94">
        <v>0</v>
      </c>
      <c r="AI12" s="94">
        <v>0</v>
      </c>
      <c r="AJ12" s="94">
        <v>0</v>
      </c>
      <c r="AK12" s="94">
        <v>0</v>
      </c>
      <c r="AL12" s="94">
        <v>0</v>
      </c>
      <c r="AM12" s="94">
        <v>0</v>
      </c>
      <c r="AN12" s="94">
        <v>0</v>
      </c>
      <c r="AO12" s="94">
        <v>0</v>
      </c>
      <c r="AP12" s="94">
        <v>0</v>
      </c>
      <c r="AQ12" s="94">
        <v>0</v>
      </c>
      <c r="AR12" s="94">
        <v>0</v>
      </c>
      <c r="AS12" s="94">
        <v>0</v>
      </c>
      <c r="AT12" s="94">
        <v>0</v>
      </c>
      <c r="AU12" s="94">
        <v>0</v>
      </c>
      <c r="AV12" s="94">
        <v>0</v>
      </c>
      <c r="AW12" s="94">
        <v>0</v>
      </c>
      <c r="AX12" s="93"/>
      <c r="AY12" s="47">
        <v>0</v>
      </c>
      <c r="AZ12" s="47">
        <v>0</v>
      </c>
      <c r="BA12" s="47">
        <v>0</v>
      </c>
      <c r="BB12" s="47">
        <v>0</v>
      </c>
      <c r="BC12" s="47">
        <v>0</v>
      </c>
      <c r="BD12" s="47">
        <v>0</v>
      </c>
      <c r="BE12" s="47">
        <v>0</v>
      </c>
      <c r="BF12" s="47">
        <v>0</v>
      </c>
      <c r="BG12" s="47">
        <v>0</v>
      </c>
      <c r="BH12" s="47">
        <v>0</v>
      </c>
      <c r="BI12" s="47">
        <v>0</v>
      </c>
      <c r="BJ12" s="47">
        <v>0</v>
      </c>
      <c r="BK12" s="47">
        <v>0</v>
      </c>
      <c r="BL12" s="47">
        <v>0</v>
      </c>
      <c r="BM12" s="47">
        <v>0</v>
      </c>
      <c r="BN12" s="47">
        <v>0</v>
      </c>
      <c r="BO12" s="47">
        <v>0</v>
      </c>
      <c r="BP12" s="47">
        <v>0</v>
      </c>
      <c r="BQ12" s="47">
        <v>0</v>
      </c>
      <c r="BR12" s="47">
        <v>0</v>
      </c>
      <c r="BS12" s="47">
        <v>0</v>
      </c>
      <c r="BT12" s="47">
        <v>0</v>
      </c>
      <c r="BU12" s="47">
        <v>0</v>
      </c>
    </row>
    <row r="13" spans="1:73" x14ac:dyDescent="0.25">
      <c r="A13" t="s">
        <v>158</v>
      </c>
      <c r="B13" t="s">
        <v>99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3"/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94">
        <v>0</v>
      </c>
      <c r="AH13" s="94">
        <v>0</v>
      </c>
      <c r="AI13" s="94">
        <v>0</v>
      </c>
      <c r="AJ13" s="94">
        <v>0</v>
      </c>
      <c r="AK13" s="94">
        <v>0</v>
      </c>
      <c r="AL13" s="94">
        <v>0</v>
      </c>
      <c r="AM13" s="94">
        <v>0</v>
      </c>
      <c r="AN13" s="94">
        <v>0</v>
      </c>
      <c r="AO13" s="94">
        <v>0</v>
      </c>
      <c r="AP13" s="94">
        <v>0</v>
      </c>
      <c r="AQ13" s="94">
        <v>0</v>
      </c>
      <c r="AR13" s="94">
        <v>0</v>
      </c>
      <c r="AS13" s="94">
        <v>0</v>
      </c>
      <c r="AT13" s="94">
        <v>0</v>
      </c>
      <c r="AU13" s="94">
        <v>0</v>
      </c>
      <c r="AV13" s="94">
        <v>0</v>
      </c>
      <c r="AW13" s="94">
        <v>0</v>
      </c>
      <c r="AX13" s="93"/>
      <c r="AY13" s="47">
        <v>0</v>
      </c>
      <c r="AZ13" s="47">
        <v>0</v>
      </c>
      <c r="BA13" s="47">
        <v>0</v>
      </c>
      <c r="BB13" s="47">
        <v>0</v>
      </c>
      <c r="BC13" s="47">
        <v>0</v>
      </c>
      <c r="BD13" s="47">
        <v>0</v>
      </c>
      <c r="BE13" s="47">
        <v>0</v>
      </c>
      <c r="BF13" s="47">
        <v>0</v>
      </c>
      <c r="BG13" s="47">
        <v>0</v>
      </c>
      <c r="BH13" s="47">
        <v>0</v>
      </c>
      <c r="BI13" s="47">
        <v>0</v>
      </c>
      <c r="BJ13" s="47">
        <v>0</v>
      </c>
      <c r="BK13" s="47">
        <v>0</v>
      </c>
      <c r="BL13" s="47">
        <v>0</v>
      </c>
      <c r="BM13" s="47">
        <v>0</v>
      </c>
      <c r="BN13" s="47">
        <v>0</v>
      </c>
      <c r="BO13" s="47">
        <v>0</v>
      </c>
      <c r="BP13" s="47">
        <v>0</v>
      </c>
      <c r="BQ13" s="47">
        <v>0</v>
      </c>
      <c r="BR13" s="47">
        <v>0</v>
      </c>
      <c r="BS13" s="47">
        <v>0</v>
      </c>
      <c r="BT13" s="47">
        <v>0</v>
      </c>
      <c r="BU13" s="47">
        <v>0</v>
      </c>
    </row>
    <row r="14" spans="1:73" x14ac:dyDescent="0.25">
      <c r="A14" t="s">
        <v>180</v>
      </c>
      <c r="B14" t="s">
        <v>100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0.1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3"/>
      <c r="AA14" s="94">
        <v>0</v>
      </c>
      <c r="AB14" s="94">
        <v>0</v>
      </c>
      <c r="AC14" s="94">
        <v>0</v>
      </c>
      <c r="AD14" s="94">
        <v>0</v>
      </c>
      <c r="AE14" s="94">
        <v>0</v>
      </c>
      <c r="AF14" s="94">
        <v>0</v>
      </c>
      <c r="AG14" s="94">
        <v>0</v>
      </c>
      <c r="AH14" s="94">
        <v>0</v>
      </c>
      <c r="AI14" s="94">
        <v>0</v>
      </c>
      <c r="AJ14" s="94">
        <v>0</v>
      </c>
      <c r="AK14" s="94">
        <v>0</v>
      </c>
      <c r="AL14" s="94">
        <v>0</v>
      </c>
      <c r="AM14" s="94">
        <v>0</v>
      </c>
      <c r="AN14" s="94">
        <v>0</v>
      </c>
      <c r="AO14" s="94">
        <v>0</v>
      </c>
      <c r="AP14" s="94">
        <v>0</v>
      </c>
      <c r="AQ14" s="94">
        <v>0</v>
      </c>
      <c r="AR14" s="94">
        <v>0</v>
      </c>
      <c r="AS14" s="94">
        <v>0</v>
      </c>
      <c r="AT14" s="94">
        <v>0</v>
      </c>
      <c r="AU14" s="94">
        <v>0</v>
      </c>
      <c r="AV14" s="94">
        <v>0</v>
      </c>
      <c r="AW14" s="94">
        <v>0</v>
      </c>
      <c r="AX14" s="93"/>
      <c r="AY14" s="47">
        <v>0</v>
      </c>
      <c r="AZ14" s="47">
        <v>0</v>
      </c>
      <c r="BA14" s="47">
        <v>0</v>
      </c>
      <c r="BB14" s="47">
        <v>0</v>
      </c>
      <c r="BC14" s="47">
        <v>0</v>
      </c>
      <c r="BD14" s="47">
        <v>0</v>
      </c>
      <c r="BE14" s="47">
        <v>0</v>
      </c>
      <c r="BF14" s="47">
        <v>0</v>
      </c>
      <c r="BG14" s="47">
        <v>0</v>
      </c>
      <c r="BH14" s="47">
        <v>0</v>
      </c>
      <c r="BI14" s="47">
        <v>0</v>
      </c>
      <c r="BJ14" s="47">
        <v>0</v>
      </c>
      <c r="BK14" s="47">
        <v>0</v>
      </c>
      <c r="BL14" s="47">
        <v>0</v>
      </c>
      <c r="BM14" s="47">
        <v>0</v>
      </c>
      <c r="BN14" s="47">
        <v>0</v>
      </c>
      <c r="BO14" s="47">
        <v>0</v>
      </c>
      <c r="BP14" s="47">
        <v>0</v>
      </c>
      <c r="BQ14" s="47">
        <v>0</v>
      </c>
      <c r="BR14" s="47">
        <v>0</v>
      </c>
      <c r="BS14" s="47">
        <v>0</v>
      </c>
      <c r="BT14" s="47">
        <v>0</v>
      </c>
      <c r="BU14" s="47">
        <v>0</v>
      </c>
    </row>
    <row r="15" spans="1:73" x14ac:dyDescent="0.25">
      <c r="A15" t="s">
        <v>181</v>
      </c>
      <c r="B15" t="s">
        <v>101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3"/>
      <c r="AA15" s="94">
        <v>0</v>
      </c>
      <c r="AB15" s="94">
        <v>0</v>
      </c>
      <c r="AC15" s="94">
        <v>0</v>
      </c>
      <c r="AD15" s="94">
        <v>0</v>
      </c>
      <c r="AE15" s="94">
        <v>0</v>
      </c>
      <c r="AF15" s="94">
        <v>0</v>
      </c>
      <c r="AG15" s="94">
        <v>0</v>
      </c>
      <c r="AH15" s="94">
        <v>0</v>
      </c>
      <c r="AI15" s="94">
        <v>0</v>
      </c>
      <c r="AJ15" s="94">
        <v>0</v>
      </c>
      <c r="AK15" s="94">
        <v>0</v>
      </c>
      <c r="AL15" s="94">
        <v>0</v>
      </c>
      <c r="AM15" s="94">
        <v>0</v>
      </c>
      <c r="AN15" s="94">
        <v>0</v>
      </c>
      <c r="AO15" s="94">
        <v>0</v>
      </c>
      <c r="AP15" s="94">
        <v>0</v>
      </c>
      <c r="AQ15" s="94">
        <v>0</v>
      </c>
      <c r="AR15" s="94">
        <v>0</v>
      </c>
      <c r="AS15" s="94">
        <v>0</v>
      </c>
      <c r="AT15" s="94">
        <v>0</v>
      </c>
      <c r="AU15" s="94">
        <v>0</v>
      </c>
      <c r="AV15" s="94">
        <v>0</v>
      </c>
      <c r="AW15" s="94">
        <v>0</v>
      </c>
      <c r="AX15" s="93"/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0</v>
      </c>
      <c r="BH15" s="47">
        <v>0</v>
      </c>
      <c r="BI15" s="47">
        <v>0</v>
      </c>
      <c r="BJ15" s="47">
        <v>0</v>
      </c>
      <c r="BK15" s="47">
        <v>0</v>
      </c>
      <c r="BL15" s="47">
        <v>0</v>
      </c>
      <c r="BM15" s="47">
        <v>0</v>
      </c>
      <c r="BN15" s="47">
        <v>0</v>
      </c>
      <c r="BO15" s="47">
        <v>0</v>
      </c>
      <c r="BP15" s="47">
        <v>0</v>
      </c>
      <c r="BQ15" s="47">
        <v>0</v>
      </c>
      <c r="BR15" s="47">
        <v>0</v>
      </c>
      <c r="BS15" s="47">
        <v>0</v>
      </c>
      <c r="BT15" s="47">
        <v>0</v>
      </c>
      <c r="BU15" s="47">
        <v>0</v>
      </c>
    </row>
    <row r="16" spans="1:73" x14ac:dyDescent="0.25">
      <c r="A16" t="s">
        <v>180</v>
      </c>
      <c r="B16" t="s">
        <v>102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3"/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H16" s="94">
        <v>0</v>
      </c>
      <c r="AI16" s="94">
        <v>0</v>
      </c>
      <c r="AJ16" s="94">
        <v>0</v>
      </c>
      <c r="AK16" s="94">
        <v>0</v>
      </c>
      <c r="AL16" s="94">
        <v>0</v>
      </c>
      <c r="AM16" s="94">
        <v>0</v>
      </c>
      <c r="AN16" s="94">
        <v>0</v>
      </c>
      <c r="AO16" s="94">
        <v>0</v>
      </c>
      <c r="AP16" s="94">
        <v>0</v>
      </c>
      <c r="AQ16" s="94">
        <v>0</v>
      </c>
      <c r="AR16" s="94">
        <v>0</v>
      </c>
      <c r="AS16" s="94">
        <v>0</v>
      </c>
      <c r="AT16" s="94">
        <v>0</v>
      </c>
      <c r="AU16" s="94">
        <v>0</v>
      </c>
      <c r="AV16" s="94">
        <v>0</v>
      </c>
      <c r="AW16" s="94">
        <v>0</v>
      </c>
      <c r="AX16" s="93"/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0</v>
      </c>
      <c r="BE16" s="47">
        <v>0</v>
      </c>
      <c r="BF16" s="47">
        <v>0</v>
      </c>
      <c r="BG16" s="47">
        <v>0</v>
      </c>
      <c r="BH16" s="47">
        <v>0</v>
      </c>
      <c r="BI16" s="47">
        <v>0</v>
      </c>
      <c r="BJ16" s="47">
        <v>0</v>
      </c>
      <c r="BK16" s="47">
        <v>0</v>
      </c>
      <c r="BL16" s="47">
        <v>0</v>
      </c>
      <c r="BM16" s="47">
        <v>0</v>
      </c>
      <c r="BN16" s="47">
        <v>0</v>
      </c>
      <c r="BO16" s="47">
        <v>0</v>
      </c>
      <c r="BP16" s="47">
        <v>0</v>
      </c>
      <c r="BQ16" s="47">
        <v>0</v>
      </c>
      <c r="BR16" s="47">
        <v>0</v>
      </c>
      <c r="BS16" s="47">
        <v>0</v>
      </c>
      <c r="BT16" s="47">
        <v>0</v>
      </c>
      <c r="BU16" s="47">
        <v>0</v>
      </c>
    </row>
    <row r="17" spans="1:73" x14ac:dyDescent="0.25">
      <c r="A17" t="s">
        <v>181</v>
      </c>
      <c r="B17" t="s">
        <v>103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3"/>
      <c r="AA17" s="94">
        <v>0</v>
      </c>
      <c r="AB17" s="94">
        <v>0</v>
      </c>
      <c r="AC17" s="94">
        <v>0</v>
      </c>
      <c r="AD17" s="94">
        <v>0</v>
      </c>
      <c r="AE17" s="94">
        <v>0</v>
      </c>
      <c r="AF17" s="94">
        <v>0</v>
      </c>
      <c r="AG17" s="94">
        <v>0</v>
      </c>
      <c r="AH17" s="94">
        <v>0</v>
      </c>
      <c r="AI17" s="94">
        <v>0</v>
      </c>
      <c r="AJ17" s="94">
        <v>0</v>
      </c>
      <c r="AK17" s="94">
        <v>0</v>
      </c>
      <c r="AL17" s="94">
        <v>0</v>
      </c>
      <c r="AM17" s="94">
        <v>0</v>
      </c>
      <c r="AN17" s="94">
        <v>0</v>
      </c>
      <c r="AO17" s="94">
        <v>0</v>
      </c>
      <c r="AP17" s="94">
        <v>0</v>
      </c>
      <c r="AQ17" s="94">
        <v>0</v>
      </c>
      <c r="AR17" s="94">
        <v>0</v>
      </c>
      <c r="AS17" s="94">
        <v>0</v>
      </c>
      <c r="AT17" s="94">
        <v>0</v>
      </c>
      <c r="AU17" s="94">
        <v>0</v>
      </c>
      <c r="AV17" s="94">
        <v>0</v>
      </c>
      <c r="AW17" s="94">
        <v>0</v>
      </c>
      <c r="AX17" s="93"/>
      <c r="AY17" s="47">
        <v>0</v>
      </c>
      <c r="AZ17" s="47">
        <v>0</v>
      </c>
      <c r="BA17" s="47">
        <v>0</v>
      </c>
      <c r="BB17" s="47">
        <v>0</v>
      </c>
      <c r="BC17" s="47">
        <v>0</v>
      </c>
      <c r="BD17" s="47">
        <v>0</v>
      </c>
      <c r="BE17" s="47">
        <v>0</v>
      </c>
      <c r="BF17" s="47">
        <v>0</v>
      </c>
      <c r="BG17" s="47">
        <v>0</v>
      </c>
      <c r="BH17" s="47">
        <v>0</v>
      </c>
      <c r="BI17" s="47">
        <v>0</v>
      </c>
      <c r="BJ17" s="47">
        <v>0</v>
      </c>
      <c r="BK17" s="47">
        <v>0</v>
      </c>
      <c r="BL17" s="47">
        <v>0</v>
      </c>
      <c r="BM17" s="47">
        <v>0</v>
      </c>
      <c r="BN17" s="47">
        <v>0</v>
      </c>
      <c r="BO17" s="47">
        <v>0</v>
      </c>
      <c r="BP17" s="47">
        <v>0</v>
      </c>
      <c r="BQ17" s="47">
        <v>0</v>
      </c>
      <c r="BR17" s="47">
        <v>0</v>
      </c>
      <c r="BS17" s="47">
        <v>0</v>
      </c>
      <c r="BT17" s="47">
        <v>0</v>
      </c>
      <c r="BU17" s="47">
        <v>0</v>
      </c>
    </row>
    <row r="18" spans="1:73" x14ac:dyDescent="0.25">
      <c r="A18" t="s">
        <v>180</v>
      </c>
      <c r="B18" t="s">
        <v>104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3"/>
      <c r="AA18" s="94">
        <v>0</v>
      </c>
      <c r="AB18" s="94">
        <v>0</v>
      </c>
      <c r="AC18" s="94">
        <v>0</v>
      </c>
      <c r="AD18" s="94">
        <v>0</v>
      </c>
      <c r="AE18" s="94">
        <v>0</v>
      </c>
      <c r="AF18" s="94">
        <v>0</v>
      </c>
      <c r="AG18" s="94">
        <v>0</v>
      </c>
      <c r="AH18" s="94">
        <v>0</v>
      </c>
      <c r="AI18" s="94">
        <v>0</v>
      </c>
      <c r="AJ18" s="94">
        <v>0</v>
      </c>
      <c r="AK18" s="94">
        <v>0</v>
      </c>
      <c r="AL18" s="94">
        <v>0</v>
      </c>
      <c r="AM18" s="94">
        <v>0</v>
      </c>
      <c r="AN18" s="94">
        <v>0</v>
      </c>
      <c r="AO18" s="94">
        <v>0</v>
      </c>
      <c r="AP18" s="94">
        <v>0</v>
      </c>
      <c r="AQ18" s="94">
        <v>0</v>
      </c>
      <c r="AR18" s="94">
        <v>0</v>
      </c>
      <c r="AS18" s="94">
        <v>0</v>
      </c>
      <c r="AT18" s="94">
        <v>0</v>
      </c>
      <c r="AU18" s="94">
        <v>0</v>
      </c>
      <c r="AV18" s="94">
        <v>0</v>
      </c>
      <c r="AW18" s="94">
        <v>0</v>
      </c>
      <c r="AX18" s="93"/>
      <c r="AY18" s="47">
        <v>0</v>
      </c>
      <c r="AZ18" s="47">
        <v>0</v>
      </c>
      <c r="BA18" s="47">
        <v>0</v>
      </c>
      <c r="BB18" s="47">
        <v>0</v>
      </c>
      <c r="BC18" s="47">
        <v>0</v>
      </c>
      <c r="BD18" s="47">
        <v>0</v>
      </c>
      <c r="BE18" s="47">
        <v>0</v>
      </c>
      <c r="BF18" s="47">
        <v>0</v>
      </c>
      <c r="BG18" s="47">
        <v>0</v>
      </c>
      <c r="BH18" s="47">
        <v>0</v>
      </c>
      <c r="BI18" s="47">
        <v>0</v>
      </c>
      <c r="BJ18" s="47">
        <v>0</v>
      </c>
      <c r="BK18" s="47">
        <v>0</v>
      </c>
      <c r="BL18" s="47">
        <v>0</v>
      </c>
      <c r="BM18" s="47">
        <v>0</v>
      </c>
      <c r="BN18" s="47">
        <v>0</v>
      </c>
      <c r="BO18" s="47">
        <v>0</v>
      </c>
      <c r="BP18" s="47">
        <v>0</v>
      </c>
      <c r="BQ18" s="47">
        <v>0</v>
      </c>
      <c r="BR18" s="47">
        <v>0</v>
      </c>
      <c r="BS18" s="47">
        <v>0</v>
      </c>
      <c r="BT18" s="47">
        <v>0</v>
      </c>
      <c r="BU18" s="47">
        <v>0</v>
      </c>
    </row>
    <row r="19" spans="1:73" x14ac:dyDescent="0.25">
      <c r="A19" t="s">
        <v>181</v>
      </c>
      <c r="B19" t="s">
        <v>105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3"/>
      <c r="AA19" s="94">
        <v>0</v>
      </c>
      <c r="AB19" s="94">
        <v>0</v>
      </c>
      <c r="AC19" s="94">
        <v>0</v>
      </c>
      <c r="AD19" s="94">
        <v>0</v>
      </c>
      <c r="AE19" s="94">
        <v>0</v>
      </c>
      <c r="AF19" s="94">
        <v>0</v>
      </c>
      <c r="AG19" s="94">
        <v>0</v>
      </c>
      <c r="AH19" s="94">
        <v>0</v>
      </c>
      <c r="AI19" s="94">
        <v>0</v>
      </c>
      <c r="AJ19" s="94">
        <v>0</v>
      </c>
      <c r="AK19" s="94">
        <v>0</v>
      </c>
      <c r="AL19" s="94">
        <v>0</v>
      </c>
      <c r="AM19" s="94">
        <v>0</v>
      </c>
      <c r="AN19" s="94">
        <v>0</v>
      </c>
      <c r="AO19" s="94">
        <v>0</v>
      </c>
      <c r="AP19" s="94">
        <v>0</v>
      </c>
      <c r="AQ19" s="94">
        <v>0</v>
      </c>
      <c r="AR19" s="94">
        <v>0</v>
      </c>
      <c r="AS19" s="94">
        <v>0</v>
      </c>
      <c r="AT19" s="94">
        <v>0</v>
      </c>
      <c r="AU19" s="94">
        <v>0</v>
      </c>
      <c r="AV19" s="94">
        <v>0</v>
      </c>
      <c r="AW19" s="94">
        <v>0</v>
      </c>
      <c r="AX19" s="93"/>
      <c r="AY19" s="47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47">
        <v>0</v>
      </c>
    </row>
    <row r="20" spans="1:73" x14ac:dyDescent="0.25">
      <c r="A20" t="s">
        <v>180</v>
      </c>
      <c r="B20" t="s">
        <v>106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0.2</v>
      </c>
      <c r="P20" s="92">
        <v>0.2</v>
      </c>
      <c r="Q20" s="92">
        <v>0.3</v>
      </c>
      <c r="R20" s="92">
        <v>0</v>
      </c>
      <c r="S20" s="92">
        <v>0.2</v>
      </c>
      <c r="T20" s="92">
        <v>0.2</v>
      </c>
      <c r="U20" s="92">
        <v>0</v>
      </c>
      <c r="V20" s="92">
        <v>0</v>
      </c>
      <c r="W20" s="92">
        <v>0</v>
      </c>
      <c r="X20" s="92">
        <v>0.2</v>
      </c>
      <c r="Y20" s="92">
        <v>0</v>
      </c>
      <c r="Z20" s="93"/>
      <c r="AA20" s="94">
        <v>0</v>
      </c>
      <c r="AB20" s="94">
        <v>0</v>
      </c>
      <c r="AC20" s="94">
        <v>0</v>
      </c>
      <c r="AD20" s="94">
        <v>0</v>
      </c>
      <c r="AE20" s="94">
        <v>0</v>
      </c>
      <c r="AF20" s="94">
        <v>0</v>
      </c>
      <c r="AG20" s="94">
        <v>0</v>
      </c>
      <c r="AH20" s="94">
        <v>0</v>
      </c>
      <c r="AI20" s="94">
        <v>0</v>
      </c>
      <c r="AJ20" s="94">
        <v>0</v>
      </c>
      <c r="AK20" s="94">
        <v>0</v>
      </c>
      <c r="AL20" s="94">
        <v>0</v>
      </c>
      <c r="AM20" s="94">
        <v>0</v>
      </c>
      <c r="AN20" s="94">
        <v>0</v>
      </c>
      <c r="AO20" s="94">
        <v>0</v>
      </c>
      <c r="AP20" s="94">
        <v>0</v>
      </c>
      <c r="AQ20" s="94">
        <v>0</v>
      </c>
      <c r="AR20" s="94">
        <v>0</v>
      </c>
      <c r="AS20" s="94">
        <v>0</v>
      </c>
      <c r="AT20" s="94">
        <v>0</v>
      </c>
      <c r="AU20" s="94">
        <v>0</v>
      </c>
      <c r="AV20" s="94">
        <v>0</v>
      </c>
      <c r="AW20" s="94">
        <v>0</v>
      </c>
      <c r="AX20" s="93"/>
      <c r="AY20" s="47">
        <v>0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0</v>
      </c>
      <c r="BH20" s="47">
        <v>0</v>
      </c>
      <c r="BI20" s="47">
        <v>0</v>
      </c>
      <c r="BJ20" s="47">
        <v>0</v>
      </c>
      <c r="BK20" s="47">
        <v>0</v>
      </c>
      <c r="BL20" s="47">
        <v>0</v>
      </c>
      <c r="BM20" s="47">
        <v>0</v>
      </c>
      <c r="BN20" s="47">
        <v>0</v>
      </c>
      <c r="BO20" s="47">
        <v>0</v>
      </c>
      <c r="BP20" s="47">
        <v>0</v>
      </c>
      <c r="BQ20" s="47">
        <v>0</v>
      </c>
      <c r="BR20" s="47">
        <v>0</v>
      </c>
      <c r="BS20" s="47">
        <v>0</v>
      </c>
      <c r="BT20" s="47">
        <v>0</v>
      </c>
      <c r="BU20" s="47">
        <v>0</v>
      </c>
    </row>
    <row r="21" spans="1:73" x14ac:dyDescent="0.25">
      <c r="A21" t="s">
        <v>181</v>
      </c>
      <c r="B21" t="s">
        <v>107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0.1</v>
      </c>
      <c r="T21" s="92">
        <v>0.1</v>
      </c>
      <c r="U21" s="92">
        <v>0</v>
      </c>
      <c r="V21" s="92">
        <v>0</v>
      </c>
      <c r="W21" s="92">
        <v>0</v>
      </c>
      <c r="X21" s="92">
        <v>0.1</v>
      </c>
      <c r="Y21" s="92">
        <v>0</v>
      </c>
      <c r="Z21" s="93"/>
      <c r="AA21" s="94">
        <v>0</v>
      </c>
      <c r="AB21" s="94">
        <v>0</v>
      </c>
      <c r="AC21" s="94">
        <v>0</v>
      </c>
      <c r="AD21" s="94">
        <v>0</v>
      </c>
      <c r="AE21" s="94">
        <v>0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94">
        <v>0</v>
      </c>
      <c r="AL21" s="94">
        <v>0</v>
      </c>
      <c r="AM21" s="94">
        <v>0</v>
      </c>
      <c r="AN21" s="94">
        <v>0</v>
      </c>
      <c r="AO21" s="94">
        <v>0</v>
      </c>
      <c r="AP21" s="94">
        <v>0</v>
      </c>
      <c r="AQ21" s="94">
        <v>0</v>
      </c>
      <c r="AR21" s="94">
        <v>0</v>
      </c>
      <c r="AS21" s="94">
        <v>0</v>
      </c>
      <c r="AT21" s="94">
        <v>0</v>
      </c>
      <c r="AU21" s="94">
        <v>0</v>
      </c>
      <c r="AV21" s="94">
        <v>0</v>
      </c>
      <c r="AW21" s="94">
        <v>0</v>
      </c>
      <c r="AX21" s="93"/>
      <c r="AY21" s="47">
        <v>0</v>
      </c>
      <c r="AZ21" s="47">
        <v>0</v>
      </c>
      <c r="BA21" s="47">
        <v>0</v>
      </c>
      <c r="BB21" s="47">
        <v>0</v>
      </c>
      <c r="BC21" s="47">
        <v>0</v>
      </c>
      <c r="BD21" s="47">
        <v>0</v>
      </c>
      <c r="BE21" s="47">
        <v>0</v>
      </c>
      <c r="BF21" s="47">
        <v>0</v>
      </c>
      <c r="BG21" s="47">
        <v>0</v>
      </c>
      <c r="BH21" s="47">
        <v>0</v>
      </c>
      <c r="BI21" s="47">
        <v>0</v>
      </c>
      <c r="BJ21" s="47">
        <v>0</v>
      </c>
      <c r="BK21" s="47">
        <v>0</v>
      </c>
      <c r="BL21" s="47">
        <v>0</v>
      </c>
      <c r="BM21" s="47">
        <v>0</v>
      </c>
      <c r="BN21" s="47">
        <v>0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47">
        <v>0</v>
      </c>
    </row>
    <row r="22" spans="1:73" x14ac:dyDescent="0.25">
      <c r="A22" t="s">
        <v>160</v>
      </c>
      <c r="B22" t="s">
        <v>108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3"/>
      <c r="AA22" s="94">
        <v>0</v>
      </c>
      <c r="AB22" s="94">
        <v>0</v>
      </c>
      <c r="AC22" s="94">
        <v>0</v>
      </c>
      <c r="AD22" s="94">
        <v>0</v>
      </c>
      <c r="AE22" s="94">
        <v>0</v>
      </c>
      <c r="AF22" s="94">
        <v>0</v>
      </c>
      <c r="AG22" s="94">
        <v>0</v>
      </c>
      <c r="AH22" s="94">
        <v>0</v>
      </c>
      <c r="AI22" s="94">
        <v>0</v>
      </c>
      <c r="AJ22" s="94">
        <v>0</v>
      </c>
      <c r="AK22" s="94">
        <v>0</v>
      </c>
      <c r="AL22" s="94">
        <v>0</v>
      </c>
      <c r="AM22" s="94">
        <v>0</v>
      </c>
      <c r="AN22" s="94">
        <v>0</v>
      </c>
      <c r="AO22" s="94">
        <v>0</v>
      </c>
      <c r="AP22" s="94">
        <v>0</v>
      </c>
      <c r="AQ22" s="94">
        <v>0</v>
      </c>
      <c r="AR22" s="94">
        <v>0</v>
      </c>
      <c r="AS22" s="94">
        <v>0</v>
      </c>
      <c r="AT22" s="94">
        <v>0</v>
      </c>
      <c r="AU22" s="94">
        <v>0</v>
      </c>
      <c r="AV22" s="94">
        <v>0</v>
      </c>
      <c r="AW22" s="94">
        <v>0</v>
      </c>
      <c r="AX22" s="93"/>
      <c r="AY22" s="47">
        <v>0</v>
      </c>
      <c r="AZ22" s="47">
        <v>0</v>
      </c>
      <c r="BA22" s="47">
        <v>0</v>
      </c>
      <c r="BB22" s="47">
        <v>0</v>
      </c>
      <c r="BC22" s="47">
        <v>0</v>
      </c>
      <c r="BD22" s="47">
        <v>0</v>
      </c>
      <c r="BE22" s="47">
        <v>0</v>
      </c>
      <c r="BF22" s="47">
        <v>0</v>
      </c>
      <c r="BG22" s="47">
        <v>0</v>
      </c>
      <c r="BH22" s="47">
        <v>0</v>
      </c>
      <c r="BI22" s="47">
        <v>0</v>
      </c>
      <c r="BJ22" s="47">
        <v>0</v>
      </c>
      <c r="BK22" s="47">
        <v>0</v>
      </c>
      <c r="BL22" s="47">
        <v>0</v>
      </c>
      <c r="BM22" s="47">
        <v>0</v>
      </c>
      <c r="BN22" s="47">
        <v>0</v>
      </c>
      <c r="BO22" s="47">
        <v>0</v>
      </c>
      <c r="BP22" s="47">
        <v>0</v>
      </c>
      <c r="BQ22" s="47">
        <v>0</v>
      </c>
      <c r="BR22" s="47">
        <v>0</v>
      </c>
      <c r="BS22" s="47">
        <v>0</v>
      </c>
      <c r="BT22" s="47">
        <v>0</v>
      </c>
      <c r="BU22" s="47">
        <v>0</v>
      </c>
    </row>
    <row r="23" spans="1:73" x14ac:dyDescent="0.25">
      <c r="A23" t="s">
        <v>160</v>
      </c>
      <c r="B23" s="6" t="s">
        <v>108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3"/>
      <c r="AA23" s="94">
        <v>0</v>
      </c>
      <c r="AB23" s="94">
        <v>0</v>
      </c>
      <c r="AC23" s="94">
        <v>0</v>
      </c>
      <c r="AD23" s="94">
        <v>0</v>
      </c>
      <c r="AE23" s="94">
        <v>0</v>
      </c>
      <c r="AF23" s="94">
        <v>0</v>
      </c>
      <c r="AG23" s="94">
        <v>0</v>
      </c>
      <c r="AH23" s="94">
        <v>0</v>
      </c>
      <c r="AI23" s="94">
        <v>0</v>
      </c>
      <c r="AJ23" s="94">
        <v>0</v>
      </c>
      <c r="AK23" s="94">
        <v>0</v>
      </c>
      <c r="AL23" s="94">
        <v>0</v>
      </c>
      <c r="AM23" s="94">
        <v>0</v>
      </c>
      <c r="AN23" s="94">
        <v>0</v>
      </c>
      <c r="AO23" s="94">
        <v>0</v>
      </c>
      <c r="AP23" s="94">
        <v>0</v>
      </c>
      <c r="AQ23" s="94">
        <v>0</v>
      </c>
      <c r="AR23" s="94">
        <v>0</v>
      </c>
      <c r="AS23" s="94">
        <v>0</v>
      </c>
      <c r="AT23" s="94">
        <v>0</v>
      </c>
      <c r="AU23" s="94">
        <v>0</v>
      </c>
      <c r="AV23" s="94">
        <v>0</v>
      </c>
      <c r="AW23" s="94">
        <v>0</v>
      </c>
      <c r="AX23" s="93"/>
      <c r="AY23" s="47">
        <v>0</v>
      </c>
      <c r="AZ23" s="47">
        <v>0</v>
      </c>
      <c r="BA23" s="47">
        <v>0</v>
      </c>
      <c r="BB23" s="47">
        <v>0</v>
      </c>
      <c r="BC23" s="47">
        <v>0</v>
      </c>
      <c r="BD23" s="47">
        <v>0</v>
      </c>
      <c r="BE23" s="47">
        <v>0</v>
      </c>
      <c r="BF23" s="47">
        <v>0</v>
      </c>
      <c r="BG23" s="47">
        <v>0</v>
      </c>
      <c r="BH23" s="47">
        <v>0</v>
      </c>
      <c r="BI23" s="47">
        <v>0</v>
      </c>
      <c r="BJ23" s="47">
        <v>0</v>
      </c>
      <c r="BK23" s="47">
        <v>0</v>
      </c>
      <c r="BL23" s="47">
        <v>0</v>
      </c>
      <c r="BM23" s="47">
        <v>0</v>
      </c>
      <c r="BN23" s="47">
        <v>0</v>
      </c>
      <c r="BO23" s="47">
        <v>0</v>
      </c>
      <c r="BP23" s="47">
        <v>0</v>
      </c>
      <c r="BQ23" s="47">
        <v>0</v>
      </c>
      <c r="BR23" s="47">
        <v>0</v>
      </c>
      <c r="BS23" s="47">
        <v>0</v>
      </c>
      <c r="BT23" s="47">
        <v>0</v>
      </c>
      <c r="BU23" s="47">
        <v>0</v>
      </c>
    </row>
    <row r="24" spans="1:73" x14ac:dyDescent="0.25">
      <c r="A24" t="s">
        <v>160</v>
      </c>
      <c r="B24" s="6" t="s">
        <v>109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3"/>
      <c r="AA24" s="94">
        <v>0</v>
      </c>
      <c r="AB24" s="94">
        <v>0</v>
      </c>
      <c r="AC24" s="94">
        <v>0</v>
      </c>
      <c r="AD24" s="94">
        <v>0</v>
      </c>
      <c r="AE24" s="94">
        <v>0</v>
      </c>
      <c r="AF24" s="94">
        <v>0</v>
      </c>
      <c r="AG24" s="94">
        <v>0</v>
      </c>
      <c r="AH24" s="94">
        <v>0</v>
      </c>
      <c r="AI24" s="94">
        <v>0</v>
      </c>
      <c r="AJ24" s="94">
        <v>0</v>
      </c>
      <c r="AK24" s="94">
        <v>0</v>
      </c>
      <c r="AL24" s="94">
        <v>0</v>
      </c>
      <c r="AM24" s="94">
        <v>0</v>
      </c>
      <c r="AN24" s="94">
        <v>0</v>
      </c>
      <c r="AO24" s="94">
        <v>0</v>
      </c>
      <c r="AP24" s="94">
        <v>0</v>
      </c>
      <c r="AQ24" s="94">
        <v>0</v>
      </c>
      <c r="AR24" s="94">
        <v>0</v>
      </c>
      <c r="AS24" s="94">
        <v>0</v>
      </c>
      <c r="AT24" s="94">
        <v>0</v>
      </c>
      <c r="AU24" s="94">
        <v>0</v>
      </c>
      <c r="AV24" s="94">
        <v>0</v>
      </c>
      <c r="AW24" s="94">
        <v>0</v>
      </c>
      <c r="AX24" s="93"/>
      <c r="AY24" s="47">
        <v>0</v>
      </c>
      <c r="AZ24" s="47">
        <v>0</v>
      </c>
      <c r="BA24" s="47">
        <v>0</v>
      </c>
      <c r="BB24" s="47">
        <v>0</v>
      </c>
      <c r="BC24" s="47">
        <v>0</v>
      </c>
      <c r="BD24" s="47">
        <v>0</v>
      </c>
      <c r="BE24" s="47">
        <v>0</v>
      </c>
      <c r="BF24" s="47">
        <v>0</v>
      </c>
      <c r="BG24" s="47">
        <v>0</v>
      </c>
      <c r="BH24" s="47">
        <v>0</v>
      </c>
      <c r="BI24" s="47">
        <v>0</v>
      </c>
      <c r="BJ24" s="47">
        <v>0</v>
      </c>
      <c r="BK24" s="47">
        <v>0</v>
      </c>
      <c r="BL24" s="47">
        <v>0</v>
      </c>
      <c r="BM24" s="47">
        <v>0</v>
      </c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</row>
    <row r="25" spans="1:73" x14ac:dyDescent="0.25">
      <c r="A25" t="s">
        <v>160</v>
      </c>
      <c r="B25" t="s">
        <v>110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3"/>
      <c r="AA25" s="94">
        <v>0</v>
      </c>
      <c r="AB25" s="94">
        <v>0</v>
      </c>
      <c r="AC25" s="94">
        <v>0</v>
      </c>
      <c r="AD25" s="94">
        <v>0</v>
      </c>
      <c r="AE25" s="94">
        <v>0</v>
      </c>
      <c r="AF25" s="94">
        <v>0</v>
      </c>
      <c r="AG25" s="94">
        <v>0</v>
      </c>
      <c r="AH25" s="94">
        <v>0</v>
      </c>
      <c r="AI25" s="94">
        <v>0</v>
      </c>
      <c r="AJ25" s="94">
        <v>0</v>
      </c>
      <c r="AK25" s="94">
        <v>0</v>
      </c>
      <c r="AL25" s="94">
        <v>0</v>
      </c>
      <c r="AM25" s="94">
        <v>0</v>
      </c>
      <c r="AN25" s="94">
        <v>0</v>
      </c>
      <c r="AO25" s="94">
        <v>0</v>
      </c>
      <c r="AP25" s="94">
        <v>0</v>
      </c>
      <c r="AQ25" s="94">
        <v>0</v>
      </c>
      <c r="AR25" s="94">
        <v>0</v>
      </c>
      <c r="AS25" s="94">
        <v>0</v>
      </c>
      <c r="AT25" s="94">
        <v>0</v>
      </c>
      <c r="AU25" s="94">
        <v>0</v>
      </c>
      <c r="AV25" s="94">
        <v>0</v>
      </c>
      <c r="AW25" s="94">
        <v>0</v>
      </c>
      <c r="AX25" s="93"/>
      <c r="AY25" s="47">
        <v>0</v>
      </c>
      <c r="AZ25" s="47">
        <v>0</v>
      </c>
      <c r="BA25" s="47">
        <v>0</v>
      </c>
      <c r="BB25" s="47">
        <v>0</v>
      </c>
      <c r="BC25" s="47">
        <v>0</v>
      </c>
      <c r="BD25" s="47">
        <v>0</v>
      </c>
      <c r="BE25" s="47">
        <v>0</v>
      </c>
      <c r="BF25" s="47">
        <v>0</v>
      </c>
      <c r="BG25" s="47">
        <v>0</v>
      </c>
      <c r="BH25" s="47">
        <v>0</v>
      </c>
      <c r="BI25" s="47">
        <v>0</v>
      </c>
      <c r="BJ25" s="47">
        <v>0</v>
      </c>
      <c r="BK25" s="47">
        <v>0</v>
      </c>
      <c r="BL25" s="47">
        <v>0</v>
      </c>
      <c r="BM25" s="47">
        <v>0</v>
      </c>
      <c r="BN25" s="47">
        <v>0</v>
      </c>
      <c r="BO25" s="47">
        <v>0</v>
      </c>
      <c r="BP25" s="47">
        <v>0</v>
      </c>
      <c r="BQ25" s="47">
        <v>0</v>
      </c>
      <c r="BR25" s="47">
        <v>0</v>
      </c>
      <c r="BS25" s="47">
        <v>0</v>
      </c>
      <c r="BT25" s="47">
        <v>0</v>
      </c>
      <c r="BU25" s="47">
        <v>0</v>
      </c>
    </row>
    <row r="26" spans="1:73" x14ac:dyDescent="0.25">
      <c r="A26" t="s">
        <v>161</v>
      </c>
      <c r="B26" t="s">
        <v>111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3"/>
      <c r="AA26" s="94">
        <v>0</v>
      </c>
      <c r="AB26" s="94">
        <v>0</v>
      </c>
      <c r="AC26" s="94">
        <v>0</v>
      </c>
      <c r="AD26" s="94">
        <v>0</v>
      </c>
      <c r="AE26" s="94">
        <v>0</v>
      </c>
      <c r="AF26" s="94">
        <v>0</v>
      </c>
      <c r="AG26" s="94">
        <v>0</v>
      </c>
      <c r="AH26" s="94">
        <v>0</v>
      </c>
      <c r="AI26" s="94">
        <v>0</v>
      </c>
      <c r="AJ26" s="94">
        <v>0</v>
      </c>
      <c r="AK26" s="94">
        <v>0</v>
      </c>
      <c r="AL26" s="94">
        <v>0</v>
      </c>
      <c r="AM26" s="94">
        <v>0</v>
      </c>
      <c r="AN26" s="94">
        <v>0</v>
      </c>
      <c r="AO26" s="94">
        <v>0</v>
      </c>
      <c r="AP26" s="94">
        <v>0</v>
      </c>
      <c r="AQ26" s="94">
        <v>0</v>
      </c>
      <c r="AR26" s="94">
        <v>0</v>
      </c>
      <c r="AS26" s="94">
        <v>0</v>
      </c>
      <c r="AT26" s="94">
        <v>0</v>
      </c>
      <c r="AU26" s="94">
        <v>0</v>
      </c>
      <c r="AV26" s="94">
        <v>0</v>
      </c>
      <c r="AW26" s="94">
        <v>0</v>
      </c>
      <c r="AX26" s="93"/>
      <c r="AY26" s="47">
        <v>0</v>
      </c>
      <c r="AZ26" s="47">
        <v>0</v>
      </c>
      <c r="BA26" s="47">
        <v>0</v>
      </c>
      <c r="BB26" s="47">
        <v>0</v>
      </c>
      <c r="BC26" s="47">
        <v>0</v>
      </c>
      <c r="BD26" s="47">
        <v>0</v>
      </c>
      <c r="BE26" s="47">
        <v>0</v>
      </c>
      <c r="BF26" s="47">
        <v>0</v>
      </c>
      <c r="BG26" s="47">
        <v>0</v>
      </c>
      <c r="BH26" s="47">
        <v>0</v>
      </c>
      <c r="BI26" s="47">
        <v>0</v>
      </c>
      <c r="BJ26" s="47">
        <v>0</v>
      </c>
      <c r="BK26" s="47">
        <v>0</v>
      </c>
      <c r="BL26" s="47">
        <v>0</v>
      </c>
      <c r="BM26" s="47">
        <v>0</v>
      </c>
      <c r="BN26" s="47">
        <v>0</v>
      </c>
      <c r="BO26" s="47">
        <v>0</v>
      </c>
      <c r="BP26" s="47">
        <v>0</v>
      </c>
      <c r="BQ26" s="47">
        <v>0</v>
      </c>
      <c r="BR26" s="47">
        <v>0</v>
      </c>
      <c r="BS26" s="47">
        <v>0</v>
      </c>
      <c r="BT26" s="47">
        <v>0</v>
      </c>
      <c r="BU26" s="47">
        <v>0</v>
      </c>
    </row>
    <row r="27" spans="1:73" x14ac:dyDescent="0.25">
      <c r="A27" t="s">
        <v>161</v>
      </c>
      <c r="B27" t="s">
        <v>112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3"/>
      <c r="AA27" s="94">
        <v>0</v>
      </c>
      <c r="AB27" s="94">
        <v>0</v>
      </c>
      <c r="AC27" s="94">
        <v>0</v>
      </c>
      <c r="AD27" s="94">
        <v>0</v>
      </c>
      <c r="AE27" s="94">
        <v>0</v>
      </c>
      <c r="AF27" s="94">
        <v>0</v>
      </c>
      <c r="AG27" s="94">
        <v>0</v>
      </c>
      <c r="AH27" s="94">
        <v>0</v>
      </c>
      <c r="AI27" s="94">
        <v>0</v>
      </c>
      <c r="AJ27" s="94">
        <v>0</v>
      </c>
      <c r="AK27" s="94">
        <v>0</v>
      </c>
      <c r="AL27" s="94">
        <v>0</v>
      </c>
      <c r="AM27" s="94">
        <v>0</v>
      </c>
      <c r="AN27" s="94">
        <v>0</v>
      </c>
      <c r="AO27" s="94">
        <v>0</v>
      </c>
      <c r="AP27" s="94">
        <v>0</v>
      </c>
      <c r="AQ27" s="94">
        <v>0</v>
      </c>
      <c r="AR27" s="94">
        <v>0</v>
      </c>
      <c r="AS27" s="94">
        <v>0</v>
      </c>
      <c r="AT27" s="94">
        <v>0</v>
      </c>
      <c r="AU27" s="94">
        <v>0</v>
      </c>
      <c r="AV27" s="94">
        <v>0</v>
      </c>
      <c r="AW27" s="94">
        <v>0</v>
      </c>
      <c r="AX27" s="93"/>
      <c r="AY27" s="47">
        <v>0</v>
      </c>
      <c r="AZ27" s="47">
        <v>0</v>
      </c>
      <c r="BA27" s="47">
        <v>0</v>
      </c>
      <c r="BB27" s="47">
        <v>0</v>
      </c>
      <c r="BC27" s="47">
        <v>0</v>
      </c>
      <c r="BD27" s="47">
        <v>0</v>
      </c>
      <c r="BE27" s="47">
        <v>0</v>
      </c>
      <c r="BF27" s="47">
        <v>0</v>
      </c>
      <c r="BG27" s="47">
        <v>0</v>
      </c>
      <c r="BH27" s="47">
        <v>0</v>
      </c>
      <c r="BI27" s="47">
        <v>0</v>
      </c>
      <c r="BJ27" s="47">
        <v>0</v>
      </c>
      <c r="BK27" s="47">
        <v>0</v>
      </c>
      <c r="BL27" s="47">
        <v>0</v>
      </c>
      <c r="BM27" s="47">
        <v>0</v>
      </c>
      <c r="BN27" s="47">
        <v>0</v>
      </c>
      <c r="BO27" s="47">
        <v>0</v>
      </c>
      <c r="BP27" s="47">
        <v>0</v>
      </c>
      <c r="BQ27" s="47">
        <v>0</v>
      </c>
      <c r="BR27" s="47">
        <v>0</v>
      </c>
      <c r="BS27" s="47">
        <v>0</v>
      </c>
      <c r="BT27" s="47">
        <v>0</v>
      </c>
      <c r="BU27" s="47">
        <v>0</v>
      </c>
    </row>
    <row r="28" spans="1:73" x14ac:dyDescent="0.25">
      <c r="A28" t="s">
        <v>161</v>
      </c>
      <c r="B28" t="s">
        <v>113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3"/>
      <c r="AA28" s="94">
        <v>0</v>
      </c>
      <c r="AB28" s="94">
        <v>0</v>
      </c>
      <c r="AC28" s="94">
        <v>0</v>
      </c>
      <c r="AD28" s="94">
        <v>0</v>
      </c>
      <c r="AE28" s="94">
        <v>0</v>
      </c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94">
        <v>0</v>
      </c>
      <c r="AL28" s="94">
        <v>0</v>
      </c>
      <c r="AM28" s="94">
        <v>0</v>
      </c>
      <c r="AN28" s="94">
        <v>0</v>
      </c>
      <c r="AO28" s="94">
        <v>0</v>
      </c>
      <c r="AP28" s="94">
        <v>0</v>
      </c>
      <c r="AQ28" s="94">
        <v>0</v>
      </c>
      <c r="AR28" s="94">
        <v>0</v>
      </c>
      <c r="AS28" s="94">
        <v>0</v>
      </c>
      <c r="AT28" s="94">
        <v>0</v>
      </c>
      <c r="AU28" s="94">
        <v>0</v>
      </c>
      <c r="AV28" s="94">
        <v>0</v>
      </c>
      <c r="AW28" s="94">
        <v>0</v>
      </c>
      <c r="AX28" s="93"/>
      <c r="AY28" s="47">
        <v>0</v>
      </c>
      <c r="AZ28" s="47">
        <v>0</v>
      </c>
      <c r="BA28" s="47">
        <v>0</v>
      </c>
      <c r="BB28" s="47">
        <v>0</v>
      </c>
      <c r="BC28" s="47">
        <v>0</v>
      </c>
      <c r="BD28" s="47">
        <v>0</v>
      </c>
      <c r="BE28" s="47">
        <v>0</v>
      </c>
      <c r="BF28" s="47">
        <v>0</v>
      </c>
      <c r="BG28" s="47">
        <v>0</v>
      </c>
      <c r="BH28" s="47">
        <v>0</v>
      </c>
      <c r="BI28" s="47">
        <v>0</v>
      </c>
      <c r="BJ28" s="47">
        <v>0</v>
      </c>
      <c r="BK28" s="47">
        <v>0</v>
      </c>
      <c r="BL28" s="47">
        <v>0</v>
      </c>
      <c r="BM28" s="47">
        <v>0</v>
      </c>
      <c r="BN28" s="47">
        <v>0</v>
      </c>
      <c r="BO28" s="47">
        <v>0</v>
      </c>
      <c r="BP28" s="47">
        <v>0</v>
      </c>
      <c r="BQ28" s="47">
        <v>0</v>
      </c>
      <c r="BR28" s="47">
        <v>0</v>
      </c>
      <c r="BS28" s="47">
        <v>0</v>
      </c>
      <c r="BT28" s="47">
        <v>0</v>
      </c>
      <c r="BU28" s="47">
        <v>0</v>
      </c>
    </row>
    <row r="29" spans="1:73" x14ac:dyDescent="0.25">
      <c r="A29" t="s">
        <v>161</v>
      </c>
      <c r="B29" t="s">
        <v>114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0.5</v>
      </c>
      <c r="S29" s="92">
        <v>0</v>
      </c>
      <c r="T29" s="92">
        <v>0</v>
      </c>
      <c r="U29" s="92">
        <v>0.5</v>
      </c>
      <c r="V29" s="92">
        <v>0</v>
      </c>
      <c r="W29" s="92">
        <v>0</v>
      </c>
      <c r="X29" s="92">
        <v>0</v>
      </c>
      <c r="Y29" s="92">
        <v>0.5</v>
      </c>
      <c r="Z29" s="93"/>
      <c r="AA29" s="94">
        <v>0</v>
      </c>
      <c r="AB29" s="94">
        <v>0</v>
      </c>
      <c r="AC29" s="94">
        <v>0</v>
      </c>
      <c r="AD29" s="94">
        <v>0</v>
      </c>
      <c r="AE29" s="94">
        <v>0</v>
      </c>
      <c r="AF29" s="94">
        <v>0</v>
      </c>
      <c r="AG29" s="94">
        <v>0</v>
      </c>
      <c r="AH29" s="94">
        <v>0</v>
      </c>
      <c r="AI29" s="94">
        <v>0</v>
      </c>
      <c r="AJ29" s="94">
        <v>0</v>
      </c>
      <c r="AK29" s="94">
        <v>0</v>
      </c>
      <c r="AL29" s="94">
        <v>0</v>
      </c>
      <c r="AM29" s="94">
        <v>0</v>
      </c>
      <c r="AN29" s="94">
        <v>0</v>
      </c>
      <c r="AO29" s="94">
        <v>0</v>
      </c>
      <c r="AP29" s="94">
        <v>0</v>
      </c>
      <c r="AQ29" s="94">
        <v>0</v>
      </c>
      <c r="AR29" s="94">
        <v>0</v>
      </c>
      <c r="AS29" s="94">
        <v>0</v>
      </c>
      <c r="AT29" s="94">
        <v>0</v>
      </c>
      <c r="AU29" s="94">
        <v>0</v>
      </c>
      <c r="AV29" s="94">
        <v>0</v>
      </c>
      <c r="AW29" s="94">
        <v>0</v>
      </c>
      <c r="AX29" s="93"/>
      <c r="AY29" s="47">
        <v>0</v>
      </c>
      <c r="AZ29" s="47">
        <v>0</v>
      </c>
      <c r="BA29" s="47">
        <v>0</v>
      </c>
      <c r="BB29" s="47">
        <v>0</v>
      </c>
      <c r="BC29" s="47">
        <v>0</v>
      </c>
      <c r="BD29" s="47">
        <v>0</v>
      </c>
      <c r="BE29" s="47">
        <v>0</v>
      </c>
      <c r="BF29" s="47">
        <v>0</v>
      </c>
      <c r="BG29" s="47">
        <v>0</v>
      </c>
      <c r="BH29" s="47">
        <v>0</v>
      </c>
      <c r="BI29" s="47">
        <v>0</v>
      </c>
      <c r="BJ29" s="47">
        <v>0</v>
      </c>
      <c r="BK29" s="47">
        <v>0</v>
      </c>
      <c r="BL29" s="47">
        <v>0</v>
      </c>
      <c r="BM29" s="47">
        <v>0</v>
      </c>
      <c r="BN29" s="47">
        <v>0</v>
      </c>
      <c r="BO29" s="47">
        <v>0</v>
      </c>
      <c r="BP29" s="47">
        <v>0</v>
      </c>
      <c r="BQ29" s="47">
        <v>0</v>
      </c>
      <c r="BR29" s="47">
        <v>0</v>
      </c>
      <c r="BS29" s="47">
        <v>0</v>
      </c>
      <c r="BT29" s="47">
        <v>0</v>
      </c>
      <c r="BU29" s="47">
        <v>0</v>
      </c>
    </row>
    <row r="30" spans="1:73" x14ac:dyDescent="0.25">
      <c r="A30" t="s">
        <v>161</v>
      </c>
      <c r="B30" t="s">
        <v>115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0.5</v>
      </c>
      <c r="X30" s="92">
        <v>0</v>
      </c>
      <c r="Y30" s="92">
        <v>0</v>
      </c>
      <c r="Z30" s="93"/>
      <c r="AA30" s="94">
        <v>0</v>
      </c>
      <c r="AB30" s="94">
        <v>0</v>
      </c>
      <c r="AC30" s="94">
        <v>0</v>
      </c>
      <c r="AD30" s="94">
        <v>0</v>
      </c>
      <c r="AE30" s="94">
        <v>0</v>
      </c>
      <c r="AF30" s="94">
        <v>0</v>
      </c>
      <c r="AG30" s="94">
        <v>0</v>
      </c>
      <c r="AH30" s="94">
        <v>0</v>
      </c>
      <c r="AI30" s="94">
        <v>0</v>
      </c>
      <c r="AJ30" s="94">
        <v>0</v>
      </c>
      <c r="AK30" s="94">
        <v>0</v>
      </c>
      <c r="AL30" s="94">
        <v>0</v>
      </c>
      <c r="AM30" s="94">
        <v>0</v>
      </c>
      <c r="AN30" s="94">
        <v>0</v>
      </c>
      <c r="AO30" s="94">
        <v>0</v>
      </c>
      <c r="AP30" s="94">
        <v>0</v>
      </c>
      <c r="AQ30" s="94">
        <v>0</v>
      </c>
      <c r="AR30" s="94">
        <v>0</v>
      </c>
      <c r="AS30" s="94">
        <v>0</v>
      </c>
      <c r="AT30" s="94">
        <v>0</v>
      </c>
      <c r="AU30" s="94">
        <v>0</v>
      </c>
      <c r="AV30" s="94">
        <v>0</v>
      </c>
      <c r="AW30" s="94">
        <v>0</v>
      </c>
      <c r="AX30" s="93"/>
      <c r="AY30" s="47">
        <v>0</v>
      </c>
      <c r="AZ30" s="47">
        <v>0</v>
      </c>
      <c r="BA30" s="47">
        <v>0</v>
      </c>
      <c r="BB30" s="47">
        <v>0</v>
      </c>
      <c r="BC30" s="47">
        <v>0</v>
      </c>
      <c r="BD30" s="47">
        <v>0</v>
      </c>
      <c r="BE30" s="47">
        <v>0</v>
      </c>
      <c r="BF30" s="47">
        <v>0</v>
      </c>
      <c r="BG30" s="47">
        <v>0</v>
      </c>
      <c r="BH30" s="47">
        <v>0</v>
      </c>
      <c r="BI30" s="47">
        <v>0</v>
      </c>
      <c r="BJ30" s="47">
        <v>0</v>
      </c>
      <c r="BK30" s="47">
        <v>0</v>
      </c>
      <c r="BL30" s="47">
        <v>0</v>
      </c>
      <c r="BM30" s="47">
        <v>0</v>
      </c>
      <c r="BN30" s="47">
        <v>0</v>
      </c>
      <c r="BO30" s="47">
        <v>0</v>
      </c>
      <c r="BP30" s="47">
        <v>0</v>
      </c>
      <c r="BQ30" s="47">
        <v>0</v>
      </c>
      <c r="BR30" s="47">
        <v>0</v>
      </c>
      <c r="BS30" s="47">
        <v>0</v>
      </c>
      <c r="BT30" s="47">
        <v>0</v>
      </c>
      <c r="BU30" s="47">
        <v>0</v>
      </c>
    </row>
    <row r="31" spans="1:73" x14ac:dyDescent="0.25">
      <c r="A31" t="s">
        <v>161</v>
      </c>
      <c r="B31" t="s">
        <v>116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3"/>
      <c r="AA31" s="94">
        <v>0</v>
      </c>
      <c r="AB31" s="94">
        <v>0</v>
      </c>
      <c r="AC31" s="94">
        <v>0</v>
      </c>
      <c r="AD31" s="94">
        <v>0</v>
      </c>
      <c r="AE31" s="94">
        <v>0</v>
      </c>
      <c r="AF31" s="94">
        <v>0</v>
      </c>
      <c r="AG31" s="94">
        <v>0</v>
      </c>
      <c r="AH31" s="94">
        <v>0</v>
      </c>
      <c r="AI31" s="94">
        <v>0</v>
      </c>
      <c r="AJ31" s="94">
        <v>0</v>
      </c>
      <c r="AK31" s="94">
        <v>0</v>
      </c>
      <c r="AL31" s="94">
        <v>0</v>
      </c>
      <c r="AM31" s="94">
        <v>0</v>
      </c>
      <c r="AN31" s="94">
        <v>0</v>
      </c>
      <c r="AO31" s="94">
        <v>0</v>
      </c>
      <c r="AP31" s="94">
        <v>0</v>
      </c>
      <c r="AQ31" s="94">
        <v>0</v>
      </c>
      <c r="AR31" s="94">
        <v>0</v>
      </c>
      <c r="AS31" s="94">
        <v>0</v>
      </c>
      <c r="AT31" s="94">
        <v>0</v>
      </c>
      <c r="AU31" s="94">
        <v>0</v>
      </c>
      <c r="AV31" s="94">
        <v>0</v>
      </c>
      <c r="AW31" s="94">
        <v>25</v>
      </c>
      <c r="AX31" s="93"/>
      <c r="AY31" s="47">
        <v>0</v>
      </c>
      <c r="AZ31" s="47">
        <v>0</v>
      </c>
      <c r="BA31" s="47">
        <v>0</v>
      </c>
      <c r="BB31" s="47">
        <v>0</v>
      </c>
      <c r="BC31" s="47">
        <v>0</v>
      </c>
      <c r="BD31" s="47">
        <v>0</v>
      </c>
      <c r="BE31" s="47">
        <v>0</v>
      </c>
      <c r="BF31" s="47">
        <v>0</v>
      </c>
      <c r="BG31" s="47">
        <v>0</v>
      </c>
      <c r="BH31" s="47">
        <v>0</v>
      </c>
      <c r="BI31" s="47">
        <v>0</v>
      </c>
      <c r="BJ31" s="47">
        <v>0</v>
      </c>
      <c r="BK31" s="47">
        <v>0</v>
      </c>
      <c r="BL31" s="47">
        <v>0</v>
      </c>
      <c r="BM31" s="47">
        <v>0</v>
      </c>
      <c r="BN31" s="47">
        <v>0</v>
      </c>
      <c r="BO31" s="47">
        <v>0</v>
      </c>
      <c r="BP31" s="47">
        <v>0</v>
      </c>
      <c r="BQ31" s="47">
        <v>0</v>
      </c>
      <c r="BR31" s="47">
        <v>0</v>
      </c>
      <c r="BS31" s="47">
        <v>0</v>
      </c>
      <c r="BT31" s="47">
        <v>0</v>
      </c>
      <c r="BU31" s="47">
        <v>0</v>
      </c>
    </row>
    <row r="32" spans="1:73" x14ac:dyDescent="0.25">
      <c r="A32" t="s">
        <v>161</v>
      </c>
      <c r="B32" t="s">
        <v>117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3"/>
      <c r="AA32" s="94">
        <v>0</v>
      </c>
      <c r="AB32" s="94">
        <v>0</v>
      </c>
      <c r="AC32" s="94">
        <v>0</v>
      </c>
      <c r="AD32" s="94">
        <v>0</v>
      </c>
      <c r="AE32" s="94">
        <v>0</v>
      </c>
      <c r="AF32" s="94">
        <v>0</v>
      </c>
      <c r="AG32" s="94">
        <v>0</v>
      </c>
      <c r="AH32" s="94">
        <v>0</v>
      </c>
      <c r="AI32" s="94">
        <v>0</v>
      </c>
      <c r="AJ32" s="94">
        <v>0</v>
      </c>
      <c r="AK32" s="94">
        <v>0</v>
      </c>
      <c r="AL32" s="94">
        <v>0</v>
      </c>
      <c r="AM32" s="94">
        <v>0</v>
      </c>
      <c r="AN32" s="94">
        <v>0</v>
      </c>
      <c r="AO32" s="94">
        <v>0</v>
      </c>
      <c r="AP32" s="94">
        <v>0</v>
      </c>
      <c r="AQ32" s="94">
        <v>0</v>
      </c>
      <c r="AR32" s="94">
        <v>0</v>
      </c>
      <c r="AS32" s="94">
        <v>0</v>
      </c>
      <c r="AT32" s="94">
        <v>0</v>
      </c>
      <c r="AU32" s="94">
        <v>0</v>
      </c>
      <c r="AV32" s="94">
        <v>0</v>
      </c>
      <c r="AW32" s="94">
        <v>0</v>
      </c>
      <c r="AX32" s="93"/>
      <c r="AY32" s="47">
        <v>0</v>
      </c>
      <c r="AZ32" s="47">
        <v>0</v>
      </c>
      <c r="BA32" s="47">
        <v>0</v>
      </c>
      <c r="BB32" s="47">
        <v>0</v>
      </c>
      <c r="BC32" s="47">
        <v>0</v>
      </c>
      <c r="BD32" s="47">
        <v>0</v>
      </c>
      <c r="BE32" s="47">
        <v>0</v>
      </c>
      <c r="BF32" s="47">
        <v>0</v>
      </c>
      <c r="BG32" s="47">
        <v>0</v>
      </c>
      <c r="BH32" s="47">
        <v>0</v>
      </c>
      <c r="BI32" s="47">
        <v>0</v>
      </c>
      <c r="BJ32" s="47">
        <v>0</v>
      </c>
      <c r="BK32" s="47">
        <v>0</v>
      </c>
      <c r="BL32" s="47">
        <v>0</v>
      </c>
      <c r="BM32" s="47">
        <v>0</v>
      </c>
      <c r="BN32" s="47">
        <v>0</v>
      </c>
      <c r="BO32" s="47">
        <v>0</v>
      </c>
      <c r="BP32" s="47">
        <v>0</v>
      </c>
      <c r="BQ32" s="47">
        <v>0</v>
      </c>
      <c r="BR32" s="47">
        <v>0</v>
      </c>
      <c r="BS32" s="47">
        <v>0</v>
      </c>
      <c r="BT32" s="47">
        <v>0</v>
      </c>
      <c r="BU32" s="47">
        <v>0</v>
      </c>
    </row>
    <row r="33" spans="1:73" x14ac:dyDescent="0.25">
      <c r="A33" t="s">
        <v>162</v>
      </c>
      <c r="B33" t="s">
        <v>118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3"/>
      <c r="AA33" s="94">
        <v>0</v>
      </c>
      <c r="AB33" s="94">
        <v>0</v>
      </c>
      <c r="AC33" s="94">
        <v>0</v>
      </c>
      <c r="AD33" s="94"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  <c r="AO33" s="94">
        <v>0</v>
      </c>
      <c r="AP33" s="94">
        <v>0</v>
      </c>
      <c r="AQ33" s="94">
        <v>0</v>
      </c>
      <c r="AR33" s="94">
        <v>0</v>
      </c>
      <c r="AS33" s="94">
        <v>0</v>
      </c>
      <c r="AT33" s="94">
        <v>0</v>
      </c>
      <c r="AU33" s="94">
        <v>0</v>
      </c>
      <c r="AV33" s="94">
        <v>0</v>
      </c>
      <c r="AW33" s="94">
        <v>0</v>
      </c>
      <c r="AX33" s="93"/>
      <c r="AY33" s="47">
        <v>0</v>
      </c>
      <c r="AZ33" s="47">
        <v>0</v>
      </c>
      <c r="BA33" s="47">
        <v>0</v>
      </c>
      <c r="BB33" s="47">
        <v>0</v>
      </c>
      <c r="BC33" s="47">
        <v>0</v>
      </c>
      <c r="BD33" s="47">
        <v>0</v>
      </c>
      <c r="BE33" s="47">
        <v>0</v>
      </c>
      <c r="BF33" s="47">
        <v>0</v>
      </c>
      <c r="BG33" s="47">
        <v>0</v>
      </c>
      <c r="BH33" s="47">
        <v>0</v>
      </c>
      <c r="BI33" s="47">
        <v>0</v>
      </c>
      <c r="BJ33" s="47">
        <v>0</v>
      </c>
      <c r="BK33" s="47">
        <v>0</v>
      </c>
      <c r="BL33" s="47">
        <v>0</v>
      </c>
      <c r="BM33" s="47">
        <v>0</v>
      </c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</row>
    <row r="34" spans="1:73" x14ac:dyDescent="0.25">
      <c r="A34" t="s">
        <v>161</v>
      </c>
      <c r="B34" t="s">
        <v>119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3"/>
      <c r="AA34" s="94">
        <v>0</v>
      </c>
      <c r="AB34" s="94">
        <v>0</v>
      </c>
      <c r="AC34" s="94">
        <v>0</v>
      </c>
      <c r="AD34" s="94">
        <v>0</v>
      </c>
      <c r="AE34" s="94">
        <v>0</v>
      </c>
      <c r="AF34" s="94">
        <v>0</v>
      </c>
      <c r="AG34" s="94">
        <v>0</v>
      </c>
      <c r="AH34" s="94">
        <v>0</v>
      </c>
      <c r="AI34" s="94">
        <v>0</v>
      </c>
      <c r="AJ34" s="94">
        <v>0</v>
      </c>
      <c r="AK34" s="94">
        <v>0</v>
      </c>
      <c r="AL34" s="94">
        <v>0</v>
      </c>
      <c r="AM34" s="94">
        <v>0</v>
      </c>
      <c r="AN34" s="94">
        <v>0</v>
      </c>
      <c r="AO34" s="94">
        <v>0</v>
      </c>
      <c r="AP34" s="94">
        <v>0</v>
      </c>
      <c r="AQ34" s="94">
        <v>0</v>
      </c>
      <c r="AR34" s="94">
        <v>0</v>
      </c>
      <c r="AS34" s="94">
        <v>0</v>
      </c>
      <c r="AT34" s="94">
        <v>0</v>
      </c>
      <c r="AU34" s="94">
        <v>0</v>
      </c>
      <c r="AV34" s="94">
        <v>0</v>
      </c>
      <c r="AW34" s="94">
        <v>0</v>
      </c>
      <c r="AX34" s="93"/>
      <c r="AY34" s="47">
        <v>0</v>
      </c>
      <c r="AZ34" s="47">
        <v>0</v>
      </c>
      <c r="BA34" s="47">
        <v>0</v>
      </c>
      <c r="BB34" s="47">
        <v>0</v>
      </c>
      <c r="BC34" s="47">
        <v>0</v>
      </c>
      <c r="BD34" s="47">
        <v>0</v>
      </c>
      <c r="BE34" s="47">
        <v>0</v>
      </c>
      <c r="BF34" s="47">
        <v>0</v>
      </c>
      <c r="BG34" s="47">
        <v>0</v>
      </c>
      <c r="BH34" s="47">
        <v>0</v>
      </c>
      <c r="BI34" s="47">
        <v>0</v>
      </c>
      <c r="BJ34" s="47">
        <v>0</v>
      </c>
      <c r="BK34" s="47">
        <v>0</v>
      </c>
      <c r="BL34" s="47">
        <v>0</v>
      </c>
      <c r="BM34" s="47">
        <v>0</v>
      </c>
      <c r="BN34" s="47">
        <v>0</v>
      </c>
      <c r="BO34" s="47">
        <v>0</v>
      </c>
      <c r="BP34" s="47">
        <v>0</v>
      </c>
      <c r="BQ34" s="47">
        <v>0</v>
      </c>
      <c r="BR34" s="47">
        <v>0</v>
      </c>
      <c r="BS34" s="47">
        <v>0</v>
      </c>
      <c r="BT34" s="47">
        <v>0</v>
      </c>
      <c r="BU34" s="47">
        <v>0</v>
      </c>
    </row>
    <row r="35" spans="1:73" x14ac:dyDescent="0.25">
      <c r="A35" t="s">
        <v>161</v>
      </c>
      <c r="B35" t="s">
        <v>120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3"/>
      <c r="AA35" s="94">
        <v>0</v>
      </c>
      <c r="AB35" s="94">
        <v>0</v>
      </c>
      <c r="AC35" s="94">
        <v>0</v>
      </c>
      <c r="AD35" s="94">
        <v>0</v>
      </c>
      <c r="AE35" s="94">
        <v>0</v>
      </c>
      <c r="AF35" s="94">
        <v>0</v>
      </c>
      <c r="AG35" s="94">
        <v>0</v>
      </c>
      <c r="AH35" s="94">
        <v>0</v>
      </c>
      <c r="AI35" s="94">
        <v>0</v>
      </c>
      <c r="AJ35" s="94">
        <v>0</v>
      </c>
      <c r="AK35" s="94">
        <v>0</v>
      </c>
      <c r="AL35" s="94">
        <v>0</v>
      </c>
      <c r="AM35" s="94">
        <v>0</v>
      </c>
      <c r="AN35" s="94">
        <v>0</v>
      </c>
      <c r="AO35" s="94">
        <v>0</v>
      </c>
      <c r="AP35" s="94">
        <v>0</v>
      </c>
      <c r="AQ35" s="94">
        <v>0</v>
      </c>
      <c r="AR35" s="94">
        <v>0</v>
      </c>
      <c r="AS35" s="94">
        <v>0</v>
      </c>
      <c r="AT35" s="94">
        <v>0</v>
      </c>
      <c r="AU35" s="94">
        <v>0</v>
      </c>
      <c r="AV35" s="94">
        <v>0</v>
      </c>
      <c r="AW35" s="94">
        <v>0</v>
      </c>
      <c r="AX35" s="93"/>
      <c r="AY35" s="47">
        <v>0</v>
      </c>
      <c r="AZ35" s="47">
        <v>0</v>
      </c>
      <c r="BA35" s="47">
        <v>0</v>
      </c>
      <c r="BB35" s="47">
        <v>0</v>
      </c>
      <c r="BC35" s="47">
        <v>0</v>
      </c>
      <c r="BD35" s="47">
        <v>0</v>
      </c>
      <c r="BE35" s="47">
        <v>0</v>
      </c>
      <c r="BF35" s="47">
        <v>0</v>
      </c>
      <c r="BG35" s="47">
        <v>0</v>
      </c>
      <c r="BH35" s="47">
        <v>0</v>
      </c>
      <c r="BI35" s="47">
        <v>0</v>
      </c>
      <c r="BJ35" s="47">
        <v>0</v>
      </c>
      <c r="BK35" s="47">
        <v>0</v>
      </c>
      <c r="BL35" s="47">
        <v>0</v>
      </c>
      <c r="BM35" s="47">
        <v>0</v>
      </c>
      <c r="BN35" s="47">
        <v>0</v>
      </c>
      <c r="BO35" s="47">
        <v>0</v>
      </c>
      <c r="BP35" s="47">
        <v>0</v>
      </c>
      <c r="BQ35" s="47">
        <v>0</v>
      </c>
      <c r="BR35" s="47">
        <v>0</v>
      </c>
      <c r="BS35" s="47">
        <v>0</v>
      </c>
      <c r="BT35" s="47">
        <v>0</v>
      </c>
      <c r="BU35" s="47">
        <v>0</v>
      </c>
    </row>
    <row r="36" spans="1:73" x14ac:dyDescent="0.25">
      <c r="A36" t="s">
        <v>163</v>
      </c>
      <c r="B36" t="s">
        <v>121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52.1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3"/>
      <c r="AA36" s="94">
        <v>0</v>
      </c>
      <c r="AB36" s="94">
        <v>0</v>
      </c>
      <c r="AC36" s="94">
        <v>0</v>
      </c>
      <c r="AD36" s="94">
        <v>0</v>
      </c>
      <c r="AE36" s="94">
        <v>0</v>
      </c>
      <c r="AF36" s="94">
        <v>0</v>
      </c>
      <c r="AG36" s="94">
        <v>0</v>
      </c>
      <c r="AH36" s="94">
        <v>0</v>
      </c>
      <c r="AI36" s="94">
        <v>0</v>
      </c>
      <c r="AJ36" s="94">
        <v>0</v>
      </c>
      <c r="AK36" s="94">
        <v>0</v>
      </c>
      <c r="AL36" s="94">
        <v>0</v>
      </c>
      <c r="AM36" s="94">
        <v>0</v>
      </c>
      <c r="AN36" s="94">
        <v>0</v>
      </c>
      <c r="AO36" s="94">
        <v>0</v>
      </c>
      <c r="AP36" s="94">
        <v>0</v>
      </c>
      <c r="AQ36" s="94">
        <v>0</v>
      </c>
      <c r="AR36" s="94">
        <v>0</v>
      </c>
      <c r="AS36" s="94">
        <v>0</v>
      </c>
      <c r="AT36" s="94">
        <v>0</v>
      </c>
      <c r="AU36" s="94">
        <v>0</v>
      </c>
      <c r="AV36" s="94">
        <v>0</v>
      </c>
      <c r="AW36" s="94">
        <v>0</v>
      </c>
      <c r="AX36" s="93"/>
      <c r="AY36" s="47">
        <v>0</v>
      </c>
      <c r="AZ36" s="47">
        <v>0</v>
      </c>
      <c r="BA36" s="47">
        <v>0</v>
      </c>
      <c r="BB36" s="47">
        <v>0</v>
      </c>
      <c r="BC36" s="47">
        <v>0</v>
      </c>
      <c r="BD36" s="47">
        <v>0</v>
      </c>
      <c r="BE36" s="47">
        <v>0</v>
      </c>
      <c r="BF36" s="47">
        <v>0</v>
      </c>
      <c r="BG36" s="47">
        <v>0</v>
      </c>
      <c r="BH36" s="47">
        <v>0</v>
      </c>
      <c r="BI36" s="47">
        <v>0</v>
      </c>
      <c r="BJ36" s="47">
        <v>0</v>
      </c>
      <c r="BK36" s="47">
        <v>0</v>
      </c>
      <c r="BL36" s="47">
        <v>0</v>
      </c>
      <c r="BM36" s="47">
        <v>0</v>
      </c>
      <c r="BN36" s="47">
        <v>0</v>
      </c>
      <c r="BO36" s="47">
        <v>0</v>
      </c>
      <c r="BP36" s="47">
        <v>0</v>
      </c>
      <c r="BQ36" s="47">
        <v>0</v>
      </c>
      <c r="BR36" s="47">
        <v>0</v>
      </c>
      <c r="BS36" s="47">
        <v>68</v>
      </c>
      <c r="BT36" s="47">
        <v>50</v>
      </c>
      <c r="BU36" s="47">
        <v>0</v>
      </c>
    </row>
    <row r="37" spans="1:73" x14ac:dyDescent="0.25">
      <c r="A37" t="s">
        <v>164</v>
      </c>
      <c r="B37" t="s">
        <v>122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3"/>
      <c r="AA37" s="94">
        <v>0</v>
      </c>
      <c r="AB37" s="94">
        <v>0</v>
      </c>
      <c r="AC37" s="94">
        <v>0</v>
      </c>
      <c r="AD37" s="94">
        <v>0</v>
      </c>
      <c r="AE37" s="94">
        <v>0</v>
      </c>
      <c r="AF37" s="94">
        <v>0</v>
      </c>
      <c r="AG37" s="94">
        <v>0</v>
      </c>
      <c r="AH37" s="94">
        <v>0</v>
      </c>
      <c r="AI37" s="94">
        <v>0</v>
      </c>
      <c r="AJ37" s="94">
        <v>0</v>
      </c>
      <c r="AK37" s="94">
        <v>0</v>
      </c>
      <c r="AL37" s="94">
        <v>0</v>
      </c>
      <c r="AM37" s="94">
        <v>0</v>
      </c>
      <c r="AN37" s="94">
        <v>0</v>
      </c>
      <c r="AO37" s="94">
        <v>0</v>
      </c>
      <c r="AP37" s="94">
        <v>0</v>
      </c>
      <c r="AQ37" s="94">
        <v>0</v>
      </c>
      <c r="AR37" s="94">
        <v>0</v>
      </c>
      <c r="AS37" s="94">
        <v>0</v>
      </c>
      <c r="AT37" s="94">
        <v>0</v>
      </c>
      <c r="AU37" s="94">
        <v>0</v>
      </c>
      <c r="AV37" s="94">
        <v>0</v>
      </c>
      <c r="AW37" s="94">
        <v>0</v>
      </c>
      <c r="AX37" s="93"/>
      <c r="AY37" s="47">
        <v>0</v>
      </c>
      <c r="AZ37" s="47">
        <v>0</v>
      </c>
      <c r="BA37" s="47">
        <v>0</v>
      </c>
      <c r="BB37" s="47">
        <v>0</v>
      </c>
      <c r="BC37" s="47">
        <v>0</v>
      </c>
      <c r="BD37" s="47">
        <v>0</v>
      </c>
      <c r="BE37" s="47">
        <v>0</v>
      </c>
      <c r="BF37" s="47">
        <v>0</v>
      </c>
      <c r="BG37" s="47">
        <v>0</v>
      </c>
      <c r="BH37" s="47">
        <v>0</v>
      </c>
      <c r="BI37" s="47">
        <v>0</v>
      </c>
      <c r="BJ37" s="47">
        <v>0</v>
      </c>
      <c r="BK37" s="47">
        <v>0</v>
      </c>
      <c r="BL37" s="47">
        <v>0</v>
      </c>
      <c r="BM37" s="47">
        <v>0</v>
      </c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0</v>
      </c>
      <c r="BT37" s="47">
        <v>0</v>
      </c>
      <c r="BU37" s="47">
        <v>0</v>
      </c>
    </row>
    <row r="38" spans="1:73" x14ac:dyDescent="0.25">
      <c r="A38" t="s">
        <v>182</v>
      </c>
      <c r="B38" t="s">
        <v>123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92">
        <v>0</v>
      </c>
      <c r="X38" s="92">
        <v>0</v>
      </c>
      <c r="Y38" s="92">
        <v>0</v>
      </c>
      <c r="Z38" s="93"/>
      <c r="AA38" s="94">
        <v>0</v>
      </c>
      <c r="AB38" s="94">
        <v>0</v>
      </c>
      <c r="AC38" s="94">
        <v>0</v>
      </c>
      <c r="AD38" s="94">
        <v>0</v>
      </c>
      <c r="AE38" s="94">
        <v>0</v>
      </c>
      <c r="AF38" s="94">
        <v>0</v>
      </c>
      <c r="AG38" s="94">
        <v>0</v>
      </c>
      <c r="AH38" s="94">
        <v>0</v>
      </c>
      <c r="AI38" s="94">
        <v>0</v>
      </c>
      <c r="AJ38" s="94">
        <v>0</v>
      </c>
      <c r="AK38" s="94">
        <v>0</v>
      </c>
      <c r="AL38" s="94">
        <v>0</v>
      </c>
      <c r="AM38" s="94">
        <v>0</v>
      </c>
      <c r="AN38" s="94">
        <v>0</v>
      </c>
      <c r="AO38" s="94">
        <v>0</v>
      </c>
      <c r="AP38" s="94">
        <v>0</v>
      </c>
      <c r="AQ38" s="94">
        <v>0</v>
      </c>
      <c r="AR38" s="94">
        <v>0</v>
      </c>
      <c r="AS38" s="94">
        <v>0</v>
      </c>
      <c r="AT38" s="94">
        <v>0</v>
      </c>
      <c r="AU38" s="94">
        <v>0</v>
      </c>
      <c r="AV38" s="94">
        <v>0</v>
      </c>
      <c r="AW38" s="94">
        <v>0</v>
      </c>
      <c r="AX38" s="93"/>
      <c r="AY38" s="47">
        <v>0</v>
      </c>
      <c r="AZ38" s="47">
        <v>0</v>
      </c>
      <c r="BA38" s="47">
        <v>0</v>
      </c>
      <c r="BB38" s="47">
        <v>0</v>
      </c>
      <c r="BC38" s="47">
        <v>0</v>
      </c>
      <c r="BD38" s="47">
        <v>0</v>
      </c>
      <c r="BE38" s="47">
        <v>0</v>
      </c>
      <c r="BF38" s="47">
        <v>0</v>
      </c>
      <c r="BG38" s="47">
        <v>0</v>
      </c>
      <c r="BH38" s="47">
        <v>0</v>
      </c>
      <c r="BI38" s="47">
        <v>0</v>
      </c>
      <c r="BJ38" s="47">
        <v>0</v>
      </c>
      <c r="BK38" s="47">
        <v>0</v>
      </c>
      <c r="BL38" s="47">
        <v>0</v>
      </c>
      <c r="BM38" s="47">
        <v>0</v>
      </c>
      <c r="BN38" s="47">
        <v>0</v>
      </c>
      <c r="BO38" s="47">
        <v>0</v>
      </c>
      <c r="BP38" s="47">
        <v>0</v>
      </c>
      <c r="BQ38" s="47">
        <v>0</v>
      </c>
      <c r="BR38" s="47">
        <v>0</v>
      </c>
      <c r="BS38" s="47">
        <v>0</v>
      </c>
      <c r="BT38" s="47">
        <v>0</v>
      </c>
      <c r="BU38" s="47">
        <v>0</v>
      </c>
    </row>
    <row r="39" spans="1:73" x14ac:dyDescent="0.25">
      <c r="A39" t="s">
        <v>182</v>
      </c>
      <c r="B39" t="s">
        <v>124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88.3</v>
      </c>
      <c r="Q39" s="92">
        <v>0</v>
      </c>
      <c r="R39" s="92">
        <v>0</v>
      </c>
      <c r="S39" s="92">
        <v>0</v>
      </c>
      <c r="T39" s="92">
        <v>0</v>
      </c>
      <c r="U39" s="92">
        <v>74</v>
      </c>
      <c r="V39" s="92">
        <v>186.2</v>
      </c>
      <c r="W39" s="92">
        <v>0</v>
      </c>
      <c r="X39" s="92">
        <v>0</v>
      </c>
      <c r="Y39" s="92">
        <v>348</v>
      </c>
      <c r="Z39" s="93"/>
      <c r="AA39" s="94">
        <v>0</v>
      </c>
      <c r="AB39" s="94">
        <v>0</v>
      </c>
      <c r="AC39" s="94">
        <v>0</v>
      </c>
      <c r="AD39" s="94">
        <v>0</v>
      </c>
      <c r="AE39" s="94">
        <v>0</v>
      </c>
      <c r="AF39" s="94">
        <v>0</v>
      </c>
      <c r="AG39" s="94">
        <v>0</v>
      </c>
      <c r="AH39" s="94">
        <v>0</v>
      </c>
      <c r="AI39" s="94">
        <v>0</v>
      </c>
      <c r="AJ39" s="94">
        <v>0</v>
      </c>
      <c r="AK39" s="94">
        <v>0</v>
      </c>
      <c r="AL39" s="94">
        <v>0</v>
      </c>
      <c r="AM39" s="94">
        <v>0</v>
      </c>
      <c r="AN39" s="94">
        <v>0</v>
      </c>
      <c r="AO39" s="94">
        <v>0</v>
      </c>
      <c r="AP39" s="94">
        <v>0</v>
      </c>
      <c r="AQ39" s="94">
        <v>0</v>
      </c>
      <c r="AR39" s="94">
        <v>0</v>
      </c>
      <c r="AS39" s="94">
        <v>0</v>
      </c>
      <c r="AT39" s="94">
        <v>0</v>
      </c>
      <c r="AU39" s="94">
        <v>0</v>
      </c>
      <c r="AV39" s="94">
        <v>0</v>
      </c>
      <c r="AW39" s="94">
        <v>0</v>
      </c>
      <c r="AX39" s="93"/>
      <c r="AY39" s="47">
        <v>0</v>
      </c>
      <c r="AZ39" s="47">
        <v>0</v>
      </c>
      <c r="BA39" s="47">
        <v>0</v>
      </c>
      <c r="BB39" s="47">
        <v>0</v>
      </c>
      <c r="BC39" s="47">
        <v>0</v>
      </c>
      <c r="BD39" s="47">
        <v>0</v>
      </c>
      <c r="BE39" s="47">
        <v>0</v>
      </c>
      <c r="BF39" s="47">
        <v>0</v>
      </c>
      <c r="BG39" s="47">
        <v>0</v>
      </c>
      <c r="BH39" s="47">
        <v>0</v>
      </c>
      <c r="BI39" s="47">
        <v>0</v>
      </c>
      <c r="BJ39" s="47">
        <v>0</v>
      </c>
      <c r="BK39" s="47">
        <v>0</v>
      </c>
      <c r="BL39" s="47">
        <v>0</v>
      </c>
      <c r="BM39" s="47">
        <v>0</v>
      </c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</row>
    <row r="40" spans="1:73" x14ac:dyDescent="0.25">
      <c r="A40" t="s">
        <v>162</v>
      </c>
      <c r="B40" t="s">
        <v>125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3"/>
      <c r="AA40" s="94">
        <v>0</v>
      </c>
      <c r="AB40" s="94">
        <v>0</v>
      </c>
      <c r="AC40" s="94">
        <v>0</v>
      </c>
      <c r="AD40" s="94">
        <v>0</v>
      </c>
      <c r="AE40" s="94">
        <v>0</v>
      </c>
      <c r="AF40" s="94">
        <v>0</v>
      </c>
      <c r="AG40" s="94">
        <v>0</v>
      </c>
      <c r="AH40" s="94">
        <v>0</v>
      </c>
      <c r="AI40" s="94">
        <v>0</v>
      </c>
      <c r="AJ40" s="94">
        <v>0</v>
      </c>
      <c r="AK40" s="94">
        <v>0</v>
      </c>
      <c r="AL40" s="94">
        <v>0</v>
      </c>
      <c r="AM40" s="94">
        <v>0</v>
      </c>
      <c r="AN40" s="94">
        <v>0</v>
      </c>
      <c r="AO40" s="94">
        <v>0</v>
      </c>
      <c r="AP40" s="94">
        <v>0</v>
      </c>
      <c r="AQ40" s="94">
        <v>0</v>
      </c>
      <c r="AR40" s="94">
        <v>0</v>
      </c>
      <c r="AS40" s="94">
        <v>0</v>
      </c>
      <c r="AT40" s="94">
        <v>0</v>
      </c>
      <c r="AU40" s="94">
        <v>0</v>
      </c>
      <c r="AV40" s="94">
        <v>0</v>
      </c>
      <c r="AW40" s="94">
        <v>0</v>
      </c>
      <c r="AX40" s="93"/>
      <c r="AY40" s="47">
        <v>0</v>
      </c>
      <c r="AZ40" s="47">
        <v>0</v>
      </c>
      <c r="BA40" s="47">
        <v>0</v>
      </c>
      <c r="BB40" s="47">
        <v>0</v>
      </c>
      <c r="BC40" s="47">
        <v>0</v>
      </c>
      <c r="BD40" s="47">
        <v>0</v>
      </c>
      <c r="BE40" s="47">
        <v>0</v>
      </c>
      <c r="BF40" s="47">
        <v>0</v>
      </c>
      <c r="BG40" s="47">
        <v>0</v>
      </c>
      <c r="BH40" s="47">
        <v>0</v>
      </c>
      <c r="BI40" s="47">
        <v>0</v>
      </c>
      <c r="BJ40" s="47">
        <v>0</v>
      </c>
      <c r="BK40" s="47">
        <v>0</v>
      </c>
      <c r="BL40" s="47">
        <v>0</v>
      </c>
      <c r="BM40" s="47">
        <v>0</v>
      </c>
      <c r="BN40" s="47">
        <v>0</v>
      </c>
      <c r="BO40" s="47">
        <v>0</v>
      </c>
      <c r="BP40" s="47">
        <v>0</v>
      </c>
      <c r="BQ40" s="47">
        <v>0</v>
      </c>
      <c r="BR40" s="47">
        <v>0</v>
      </c>
      <c r="BS40" s="47">
        <v>0</v>
      </c>
      <c r="BT40" s="47">
        <v>0</v>
      </c>
      <c r="BU40" s="47">
        <v>0</v>
      </c>
    </row>
    <row r="41" spans="1:73" x14ac:dyDescent="0.25">
      <c r="A41" t="s">
        <v>162</v>
      </c>
      <c r="B41" t="s">
        <v>126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3"/>
      <c r="AA41" s="94">
        <v>0</v>
      </c>
      <c r="AB41" s="94">
        <v>0</v>
      </c>
      <c r="AC41" s="94">
        <v>0</v>
      </c>
      <c r="AD41" s="94">
        <v>0</v>
      </c>
      <c r="AE41" s="94">
        <v>0</v>
      </c>
      <c r="AF41" s="94">
        <v>0</v>
      </c>
      <c r="AG41" s="94">
        <v>0</v>
      </c>
      <c r="AH41" s="94">
        <v>0</v>
      </c>
      <c r="AI41" s="94">
        <v>0</v>
      </c>
      <c r="AJ41" s="94">
        <v>0</v>
      </c>
      <c r="AK41" s="94">
        <v>0</v>
      </c>
      <c r="AL41" s="94">
        <v>0</v>
      </c>
      <c r="AM41" s="94">
        <v>0</v>
      </c>
      <c r="AN41" s="94">
        <v>0</v>
      </c>
      <c r="AO41" s="94">
        <v>0</v>
      </c>
      <c r="AP41" s="94">
        <v>0</v>
      </c>
      <c r="AQ41" s="94">
        <v>0</v>
      </c>
      <c r="AR41" s="94">
        <v>0</v>
      </c>
      <c r="AS41" s="94">
        <v>0</v>
      </c>
      <c r="AT41" s="94">
        <v>0</v>
      </c>
      <c r="AU41" s="94">
        <v>0</v>
      </c>
      <c r="AV41" s="94">
        <v>0</v>
      </c>
      <c r="AW41" s="94">
        <v>0</v>
      </c>
      <c r="AX41" s="93"/>
      <c r="AY41" s="47">
        <v>0</v>
      </c>
      <c r="AZ41" s="47">
        <v>0</v>
      </c>
      <c r="BA41" s="47">
        <v>0</v>
      </c>
      <c r="BB41" s="47">
        <v>0</v>
      </c>
      <c r="BC41" s="47">
        <v>0</v>
      </c>
      <c r="BD41" s="47">
        <v>0</v>
      </c>
      <c r="BE41" s="47">
        <v>0</v>
      </c>
      <c r="BF41" s="47">
        <v>0</v>
      </c>
      <c r="BG41" s="47">
        <v>0</v>
      </c>
      <c r="BH41" s="47">
        <v>0</v>
      </c>
      <c r="BI41" s="47">
        <v>0</v>
      </c>
      <c r="BJ41" s="47">
        <v>0</v>
      </c>
      <c r="BK41" s="47">
        <v>0</v>
      </c>
      <c r="BL41" s="47">
        <v>0</v>
      </c>
      <c r="BM41" s="47">
        <v>0</v>
      </c>
      <c r="BN41" s="47">
        <v>0</v>
      </c>
      <c r="BO41" s="47">
        <v>0</v>
      </c>
      <c r="BP41" s="47">
        <v>0</v>
      </c>
      <c r="BQ41" s="47">
        <v>0</v>
      </c>
      <c r="BR41" s="47">
        <v>0</v>
      </c>
      <c r="BS41" s="47">
        <v>0</v>
      </c>
      <c r="BT41" s="47">
        <v>0</v>
      </c>
      <c r="BU41" s="47">
        <v>0</v>
      </c>
    </row>
    <row r="42" spans="1:73" x14ac:dyDescent="0.25">
      <c r="A42" t="s">
        <v>162</v>
      </c>
      <c r="B42" t="s">
        <v>127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0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3"/>
      <c r="AA42" s="94">
        <v>0</v>
      </c>
      <c r="AB42" s="94">
        <v>0</v>
      </c>
      <c r="AC42" s="94">
        <v>0</v>
      </c>
      <c r="AD42" s="94">
        <v>0</v>
      </c>
      <c r="AE42" s="94">
        <v>0</v>
      </c>
      <c r="AF42" s="94">
        <v>0</v>
      </c>
      <c r="AG42" s="94">
        <v>0</v>
      </c>
      <c r="AH42" s="94">
        <v>0</v>
      </c>
      <c r="AI42" s="94">
        <v>0</v>
      </c>
      <c r="AJ42" s="94">
        <v>0</v>
      </c>
      <c r="AK42" s="94">
        <v>0</v>
      </c>
      <c r="AL42" s="94">
        <v>0</v>
      </c>
      <c r="AM42" s="94">
        <v>0</v>
      </c>
      <c r="AN42" s="94">
        <v>0</v>
      </c>
      <c r="AO42" s="94">
        <v>0</v>
      </c>
      <c r="AP42" s="94">
        <v>0</v>
      </c>
      <c r="AQ42" s="94">
        <v>0</v>
      </c>
      <c r="AR42" s="94">
        <v>0</v>
      </c>
      <c r="AS42" s="94">
        <v>0</v>
      </c>
      <c r="AT42" s="94">
        <v>0</v>
      </c>
      <c r="AU42" s="94">
        <v>0</v>
      </c>
      <c r="AV42" s="94">
        <v>0</v>
      </c>
      <c r="AW42" s="94">
        <v>0</v>
      </c>
      <c r="AX42" s="93"/>
      <c r="AY42" s="47">
        <v>0</v>
      </c>
      <c r="AZ42" s="47">
        <v>0</v>
      </c>
      <c r="BA42" s="47">
        <v>0</v>
      </c>
      <c r="BB42" s="47">
        <v>0</v>
      </c>
      <c r="BC42" s="47">
        <v>0</v>
      </c>
      <c r="BD42" s="47">
        <v>0</v>
      </c>
      <c r="BE42" s="47">
        <v>0</v>
      </c>
      <c r="BF42" s="47">
        <v>0</v>
      </c>
      <c r="BG42" s="47">
        <v>0</v>
      </c>
      <c r="BH42" s="47">
        <v>0</v>
      </c>
      <c r="BI42" s="47">
        <v>0</v>
      </c>
      <c r="BJ42" s="47">
        <v>0</v>
      </c>
      <c r="BK42" s="47">
        <v>0</v>
      </c>
      <c r="BL42" s="47">
        <v>0</v>
      </c>
      <c r="BM42" s="47">
        <v>0</v>
      </c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</row>
    <row r="43" spans="1:73" x14ac:dyDescent="0.25">
      <c r="A43" t="s">
        <v>162</v>
      </c>
      <c r="B43" t="s">
        <v>128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3"/>
      <c r="AA43" s="94">
        <v>0</v>
      </c>
      <c r="AB43" s="94">
        <v>0</v>
      </c>
      <c r="AC43" s="94">
        <v>0</v>
      </c>
      <c r="AD43" s="94">
        <v>0</v>
      </c>
      <c r="AE43" s="94">
        <v>0</v>
      </c>
      <c r="AF43" s="94">
        <v>0</v>
      </c>
      <c r="AG43" s="94">
        <v>0</v>
      </c>
      <c r="AH43" s="94">
        <v>0</v>
      </c>
      <c r="AI43" s="94">
        <v>0</v>
      </c>
      <c r="AJ43" s="94">
        <v>0</v>
      </c>
      <c r="AK43" s="94">
        <v>0</v>
      </c>
      <c r="AL43" s="94">
        <v>0</v>
      </c>
      <c r="AM43" s="94">
        <v>0</v>
      </c>
      <c r="AN43" s="94">
        <v>0</v>
      </c>
      <c r="AO43" s="94">
        <v>0</v>
      </c>
      <c r="AP43" s="94">
        <v>0</v>
      </c>
      <c r="AQ43" s="94">
        <v>0</v>
      </c>
      <c r="AR43" s="94">
        <v>0</v>
      </c>
      <c r="AS43" s="94">
        <v>0</v>
      </c>
      <c r="AT43" s="94">
        <v>0</v>
      </c>
      <c r="AU43" s="94">
        <v>0</v>
      </c>
      <c r="AV43" s="94">
        <v>0</v>
      </c>
      <c r="AW43" s="94">
        <v>0</v>
      </c>
      <c r="AX43" s="93"/>
      <c r="AY43" s="47">
        <v>0</v>
      </c>
      <c r="AZ43" s="47">
        <v>0</v>
      </c>
      <c r="BA43" s="47">
        <v>0</v>
      </c>
      <c r="BB43" s="47">
        <v>0</v>
      </c>
      <c r="BC43" s="47">
        <v>0</v>
      </c>
      <c r="BD43" s="47">
        <v>0</v>
      </c>
      <c r="BE43" s="47">
        <v>0</v>
      </c>
      <c r="BF43" s="47">
        <v>0</v>
      </c>
      <c r="BG43" s="47">
        <v>0</v>
      </c>
      <c r="BH43" s="47">
        <v>0</v>
      </c>
      <c r="BI43" s="47">
        <v>0</v>
      </c>
      <c r="BJ43" s="47">
        <v>0</v>
      </c>
      <c r="BK43" s="47">
        <v>0</v>
      </c>
      <c r="BL43" s="47">
        <v>0</v>
      </c>
      <c r="BM43" s="47">
        <v>0</v>
      </c>
      <c r="BN43" s="47">
        <v>0</v>
      </c>
      <c r="BO43" s="47">
        <v>0</v>
      </c>
      <c r="BP43" s="47">
        <v>0</v>
      </c>
      <c r="BQ43" s="47">
        <v>0</v>
      </c>
      <c r="BR43" s="47">
        <v>0</v>
      </c>
      <c r="BS43" s="47">
        <v>0</v>
      </c>
      <c r="BT43" s="47">
        <v>0</v>
      </c>
      <c r="BU43" s="47">
        <v>0</v>
      </c>
    </row>
    <row r="44" spans="1:73" x14ac:dyDescent="0.25">
      <c r="A44" t="s">
        <v>164</v>
      </c>
      <c r="B44" t="s">
        <v>129</v>
      </c>
      <c r="C44" s="92">
        <v>0</v>
      </c>
      <c r="D44" s="92">
        <v>0</v>
      </c>
      <c r="E44" s="92">
        <v>0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3"/>
      <c r="AA44" s="94">
        <v>0</v>
      </c>
      <c r="AB44" s="94">
        <v>0</v>
      </c>
      <c r="AC44" s="94">
        <v>0</v>
      </c>
      <c r="AD44" s="94">
        <v>0</v>
      </c>
      <c r="AE44" s="94">
        <v>0</v>
      </c>
      <c r="AF44" s="94">
        <v>0</v>
      </c>
      <c r="AG44" s="94">
        <v>0</v>
      </c>
      <c r="AH44" s="94">
        <v>0</v>
      </c>
      <c r="AI44" s="94">
        <v>0</v>
      </c>
      <c r="AJ44" s="94">
        <v>0</v>
      </c>
      <c r="AK44" s="94">
        <v>0</v>
      </c>
      <c r="AL44" s="94">
        <v>0</v>
      </c>
      <c r="AM44" s="94">
        <v>0</v>
      </c>
      <c r="AN44" s="94">
        <v>0</v>
      </c>
      <c r="AO44" s="94">
        <v>0</v>
      </c>
      <c r="AP44" s="94">
        <v>0</v>
      </c>
      <c r="AQ44" s="94">
        <v>0</v>
      </c>
      <c r="AR44" s="94">
        <v>0</v>
      </c>
      <c r="AS44" s="94">
        <v>0</v>
      </c>
      <c r="AT44" s="94">
        <v>0</v>
      </c>
      <c r="AU44" s="94">
        <v>0</v>
      </c>
      <c r="AV44" s="94">
        <v>0</v>
      </c>
      <c r="AW44" s="94">
        <v>0</v>
      </c>
      <c r="AX44" s="93"/>
      <c r="AY44" s="47">
        <v>0</v>
      </c>
      <c r="AZ44" s="47">
        <v>0</v>
      </c>
      <c r="BA44" s="47">
        <v>0</v>
      </c>
      <c r="BB44" s="47">
        <v>0</v>
      </c>
      <c r="BC44" s="47">
        <v>0</v>
      </c>
      <c r="BD44" s="47">
        <v>0</v>
      </c>
      <c r="BE44" s="47">
        <v>0</v>
      </c>
      <c r="BF44" s="47">
        <v>0</v>
      </c>
      <c r="BG44" s="47">
        <v>0</v>
      </c>
      <c r="BH44" s="47">
        <v>0</v>
      </c>
      <c r="BI44" s="47">
        <v>0</v>
      </c>
      <c r="BJ44" s="47">
        <v>0</v>
      </c>
      <c r="BK44" s="47">
        <v>0</v>
      </c>
      <c r="BL44" s="47">
        <v>0</v>
      </c>
      <c r="BM44" s="47">
        <v>0</v>
      </c>
      <c r="BN44" s="47">
        <v>0</v>
      </c>
      <c r="BO44" s="47">
        <v>0</v>
      </c>
      <c r="BP44" s="47">
        <v>0</v>
      </c>
      <c r="BQ44" s="47">
        <v>0</v>
      </c>
      <c r="BR44" s="47">
        <v>0</v>
      </c>
      <c r="BS44" s="47">
        <v>0</v>
      </c>
      <c r="BT44" s="47">
        <v>0</v>
      </c>
      <c r="BU44" s="47">
        <v>0</v>
      </c>
    </row>
    <row r="45" spans="1:73" x14ac:dyDescent="0.25">
      <c r="A45" t="s">
        <v>154</v>
      </c>
      <c r="B45" t="s">
        <v>130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3"/>
      <c r="AA45" s="94">
        <v>0</v>
      </c>
      <c r="AB45" s="94">
        <v>0</v>
      </c>
      <c r="AC45" s="94">
        <v>0</v>
      </c>
      <c r="AD45" s="94">
        <v>0</v>
      </c>
      <c r="AE45" s="94">
        <v>0</v>
      </c>
      <c r="AF45" s="94">
        <v>0</v>
      </c>
      <c r="AG45" s="94">
        <v>0</v>
      </c>
      <c r="AH45" s="94">
        <v>0</v>
      </c>
      <c r="AI45" s="94">
        <v>0</v>
      </c>
      <c r="AJ45" s="94">
        <v>0</v>
      </c>
      <c r="AK45" s="94">
        <v>0</v>
      </c>
      <c r="AL45" s="94">
        <v>0</v>
      </c>
      <c r="AM45" s="94">
        <v>0</v>
      </c>
      <c r="AN45" s="94">
        <v>0</v>
      </c>
      <c r="AO45" s="94">
        <v>0</v>
      </c>
      <c r="AP45" s="94">
        <v>0</v>
      </c>
      <c r="AQ45" s="94">
        <v>0</v>
      </c>
      <c r="AR45" s="94">
        <v>0</v>
      </c>
      <c r="AS45" s="94">
        <v>0</v>
      </c>
      <c r="AT45" s="94">
        <v>0</v>
      </c>
      <c r="AU45" s="94">
        <v>0</v>
      </c>
      <c r="AV45" s="94">
        <v>0</v>
      </c>
      <c r="AW45" s="94">
        <v>0</v>
      </c>
      <c r="AX45" s="93"/>
      <c r="AY45" s="47">
        <v>0</v>
      </c>
      <c r="AZ45" s="47">
        <v>0</v>
      </c>
      <c r="BA45" s="47">
        <v>0</v>
      </c>
      <c r="BB45" s="47">
        <v>0</v>
      </c>
      <c r="BC45" s="47">
        <v>0</v>
      </c>
      <c r="BD45" s="47">
        <v>0</v>
      </c>
      <c r="BE45" s="47">
        <v>0</v>
      </c>
      <c r="BF45" s="47">
        <v>0</v>
      </c>
      <c r="BG45" s="47">
        <v>0</v>
      </c>
      <c r="BH45" s="47">
        <v>0</v>
      </c>
      <c r="BI45" s="47">
        <v>0</v>
      </c>
      <c r="BJ45" s="47">
        <v>0</v>
      </c>
      <c r="BK45" s="47">
        <v>0</v>
      </c>
      <c r="BL45" s="47">
        <v>0</v>
      </c>
      <c r="BM45" s="47">
        <v>0</v>
      </c>
      <c r="BN45" s="47">
        <v>0</v>
      </c>
      <c r="BO45" s="47">
        <v>0</v>
      </c>
      <c r="BP45" s="47">
        <v>0</v>
      </c>
      <c r="BQ45" s="47">
        <v>0</v>
      </c>
      <c r="BR45" s="47">
        <v>0</v>
      </c>
      <c r="BS45" s="47">
        <v>0</v>
      </c>
      <c r="BT45" s="47">
        <v>0</v>
      </c>
      <c r="BU45" s="47">
        <v>0</v>
      </c>
    </row>
    <row r="46" spans="1:73" x14ac:dyDescent="0.25">
      <c r="A46" t="s">
        <v>154</v>
      </c>
      <c r="B46" t="s">
        <v>131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3"/>
      <c r="AA46" s="94">
        <v>0</v>
      </c>
      <c r="AB46" s="94">
        <v>0</v>
      </c>
      <c r="AC46" s="94">
        <v>0</v>
      </c>
      <c r="AD46" s="94">
        <v>0</v>
      </c>
      <c r="AE46" s="94">
        <v>0</v>
      </c>
      <c r="AF46" s="94">
        <v>0</v>
      </c>
      <c r="AG46" s="94">
        <v>0</v>
      </c>
      <c r="AH46" s="94">
        <v>0</v>
      </c>
      <c r="AI46" s="94">
        <v>0</v>
      </c>
      <c r="AJ46" s="94">
        <v>0</v>
      </c>
      <c r="AK46" s="94">
        <v>0</v>
      </c>
      <c r="AL46" s="94">
        <v>0</v>
      </c>
      <c r="AM46" s="94">
        <v>0</v>
      </c>
      <c r="AN46" s="94">
        <v>0</v>
      </c>
      <c r="AO46" s="94">
        <v>0</v>
      </c>
      <c r="AP46" s="94">
        <v>0</v>
      </c>
      <c r="AQ46" s="94">
        <v>0</v>
      </c>
      <c r="AR46" s="94">
        <v>0</v>
      </c>
      <c r="AS46" s="94">
        <v>0</v>
      </c>
      <c r="AT46" s="94">
        <v>0</v>
      </c>
      <c r="AU46" s="94">
        <v>0</v>
      </c>
      <c r="AV46" s="94">
        <v>0</v>
      </c>
      <c r="AW46" s="94">
        <v>0</v>
      </c>
      <c r="AX46" s="93"/>
      <c r="AY46" s="47">
        <v>0</v>
      </c>
      <c r="AZ46" s="47">
        <v>0</v>
      </c>
      <c r="BA46" s="47">
        <v>0</v>
      </c>
      <c r="BB46" s="47">
        <v>0</v>
      </c>
      <c r="BC46" s="47">
        <v>0</v>
      </c>
      <c r="BD46" s="47">
        <v>0</v>
      </c>
      <c r="BE46" s="47">
        <v>0</v>
      </c>
      <c r="BF46" s="47">
        <v>0</v>
      </c>
      <c r="BG46" s="47"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v>0</v>
      </c>
      <c r="BM46" s="47">
        <v>0</v>
      </c>
      <c r="BN46" s="47">
        <v>0</v>
      </c>
      <c r="BO46" s="47">
        <v>0</v>
      </c>
      <c r="BP46" s="47">
        <v>0</v>
      </c>
      <c r="BQ46" s="47">
        <v>0</v>
      </c>
      <c r="BR46" s="47">
        <v>0</v>
      </c>
      <c r="BS46" s="47">
        <v>0</v>
      </c>
      <c r="BT46" s="47">
        <v>0</v>
      </c>
      <c r="BU46" s="47">
        <v>0</v>
      </c>
    </row>
    <row r="47" spans="1:73" x14ac:dyDescent="0.25">
      <c r="A47" t="s">
        <v>164</v>
      </c>
      <c r="B47" t="s">
        <v>132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3"/>
      <c r="AA47" s="94">
        <v>0</v>
      </c>
      <c r="AB47" s="94">
        <v>0</v>
      </c>
      <c r="AC47" s="94">
        <v>0</v>
      </c>
      <c r="AD47" s="94">
        <v>0</v>
      </c>
      <c r="AE47" s="94">
        <v>0</v>
      </c>
      <c r="AF47" s="94">
        <v>0</v>
      </c>
      <c r="AG47" s="94">
        <v>0</v>
      </c>
      <c r="AH47" s="94">
        <v>0</v>
      </c>
      <c r="AI47" s="94">
        <v>0</v>
      </c>
      <c r="AJ47" s="94">
        <v>0</v>
      </c>
      <c r="AK47" s="94">
        <v>0</v>
      </c>
      <c r="AL47" s="94">
        <v>0</v>
      </c>
      <c r="AM47" s="94">
        <v>0</v>
      </c>
      <c r="AN47" s="94">
        <v>0</v>
      </c>
      <c r="AO47" s="94">
        <v>0</v>
      </c>
      <c r="AP47" s="94">
        <v>0</v>
      </c>
      <c r="AQ47" s="94">
        <v>0</v>
      </c>
      <c r="AR47" s="94">
        <v>0</v>
      </c>
      <c r="AS47" s="94">
        <v>0</v>
      </c>
      <c r="AT47" s="94">
        <v>0</v>
      </c>
      <c r="AU47" s="94">
        <v>0</v>
      </c>
      <c r="AV47" s="94">
        <v>0</v>
      </c>
      <c r="AW47" s="94">
        <v>0</v>
      </c>
      <c r="AX47" s="93"/>
      <c r="AY47" s="47">
        <v>0</v>
      </c>
      <c r="AZ47" s="47">
        <v>0</v>
      </c>
      <c r="BA47" s="47">
        <v>0</v>
      </c>
      <c r="BB47" s="47">
        <v>0</v>
      </c>
      <c r="BC47" s="47">
        <v>0</v>
      </c>
      <c r="BD47" s="47">
        <v>0</v>
      </c>
      <c r="BE47" s="47">
        <v>0</v>
      </c>
      <c r="BF47" s="47">
        <v>0</v>
      </c>
      <c r="BG47" s="47">
        <v>0</v>
      </c>
      <c r="BH47" s="47">
        <v>0</v>
      </c>
      <c r="BI47" s="47">
        <v>0</v>
      </c>
      <c r="BJ47" s="47">
        <v>0</v>
      </c>
      <c r="BK47" s="47">
        <v>0</v>
      </c>
      <c r="BL47" s="47">
        <v>0</v>
      </c>
      <c r="BM47" s="47">
        <v>0</v>
      </c>
      <c r="BN47" s="47">
        <v>0</v>
      </c>
      <c r="BO47" s="47">
        <v>0</v>
      </c>
      <c r="BP47" s="47">
        <v>0</v>
      </c>
      <c r="BQ47" s="47">
        <v>0</v>
      </c>
      <c r="BR47" s="47">
        <v>0</v>
      </c>
      <c r="BS47" s="47">
        <v>0</v>
      </c>
      <c r="BT47" s="47">
        <v>0</v>
      </c>
      <c r="BU47" s="47">
        <v>0</v>
      </c>
    </row>
    <row r="48" spans="1:73" x14ac:dyDescent="0.25">
      <c r="A48" t="s">
        <v>157</v>
      </c>
      <c r="B48" t="s">
        <v>133</v>
      </c>
      <c r="C48" s="92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  <c r="U48" s="92">
        <v>0</v>
      </c>
      <c r="V48" s="92">
        <v>105</v>
      </c>
      <c r="W48" s="92">
        <v>0</v>
      </c>
      <c r="X48" s="92">
        <v>0</v>
      </c>
      <c r="Y48" s="92">
        <v>0</v>
      </c>
      <c r="Z48" s="93"/>
      <c r="AA48" s="94">
        <v>0</v>
      </c>
      <c r="AB48" s="94">
        <v>0</v>
      </c>
      <c r="AC48" s="94">
        <v>0</v>
      </c>
      <c r="AD48" s="94">
        <v>0</v>
      </c>
      <c r="AE48" s="94">
        <v>0</v>
      </c>
      <c r="AF48" s="94">
        <v>0</v>
      </c>
      <c r="AG48" s="94">
        <v>0</v>
      </c>
      <c r="AH48" s="94">
        <v>0</v>
      </c>
      <c r="AI48" s="94">
        <v>0</v>
      </c>
      <c r="AJ48" s="94">
        <v>0</v>
      </c>
      <c r="AK48" s="94">
        <v>0</v>
      </c>
      <c r="AL48" s="94">
        <v>0</v>
      </c>
      <c r="AM48" s="94">
        <v>0</v>
      </c>
      <c r="AN48" s="94">
        <v>0</v>
      </c>
      <c r="AO48" s="94">
        <v>0</v>
      </c>
      <c r="AP48" s="94">
        <v>0</v>
      </c>
      <c r="AQ48" s="94">
        <v>0</v>
      </c>
      <c r="AR48" s="94">
        <v>0</v>
      </c>
      <c r="AS48" s="94">
        <v>0</v>
      </c>
      <c r="AT48" s="94">
        <v>0</v>
      </c>
      <c r="AU48" s="94">
        <v>0</v>
      </c>
      <c r="AV48" s="94">
        <v>0</v>
      </c>
      <c r="AW48" s="94">
        <v>0</v>
      </c>
      <c r="AX48" s="93"/>
      <c r="AY48" s="47">
        <v>0</v>
      </c>
      <c r="AZ48" s="47">
        <v>0</v>
      </c>
      <c r="BA48" s="47">
        <v>0</v>
      </c>
      <c r="BB48" s="47">
        <v>0</v>
      </c>
      <c r="BC48" s="47">
        <v>0</v>
      </c>
      <c r="BD48" s="47">
        <v>0</v>
      </c>
      <c r="BE48" s="47">
        <v>0</v>
      </c>
      <c r="BF48" s="47">
        <v>0</v>
      </c>
      <c r="BG48" s="47">
        <v>0</v>
      </c>
      <c r="BH48" s="47">
        <v>0</v>
      </c>
      <c r="BI48" s="47">
        <v>0</v>
      </c>
      <c r="BJ48" s="47">
        <v>0</v>
      </c>
      <c r="BK48" s="47">
        <v>0</v>
      </c>
      <c r="BL48" s="47">
        <v>0</v>
      </c>
      <c r="BM48" s="47">
        <v>0</v>
      </c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</row>
    <row r="49" spans="1:73" x14ac:dyDescent="0.25">
      <c r="A49" t="s">
        <v>157</v>
      </c>
      <c r="B49" t="s">
        <v>134</v>
      </c>
      <c r="C49" s="92">
        <v>0</v>
      </c>
      <c r="D49" s="92">
        <v>0</v>
      </c>
      <c r="E49" s="92">
        <v>0</v>
      </c>
      <c r="F49" s="92">
        <v>0</v>
      </c>
      <c r="G49" s="92">
        <v>0</v>
      </c>
      <c r="H49" s="92">
        <v>0</v>
      </c>
      <c r="I49" s="92">
        <v>0</v>
      </c>
      <c r="J49" s="92">
        <v>0</v>
      </c>
      <c r="K49" s="92">
        <v>0</v>
      </c>
      <c r="L49" s="92">
        <v>0</v>
      </c>
      <c r="M49" s="92">
        <v>0</v>
      </c>
      <c r="N49" s="92">
        <v>0</v>
      </c>
      <c r="O49" s="92">
        <v>0</v>
      </c>
      <c r="P49" s="92">
        <v>0</v>
      </c>
      <c r="Q49" s="92">
        <v>0</v>
      </c>
      <c r="R49" s="92">
        <v>0</v>
      </c>
      <c r="S49" s="92">
        <v>0</v>
      </c>
      <c r="T49" s="92">
        <v>0</v>
      </c>
      <c r="U49" s="92">
        <v>140</v>
      </c>
      <c r="V49" s="92">
        <v>0</v>
      </c>
      <c r="W49" s="92">
        <v>0</v>
      </c>
      <c r="X49" s="92">
        <v>0</v>
      </c>
      <c r="Y49" s="92">
        <v>0</v>
      </c>
      <c r="Z49" s="93"/>
      <c r="AA49" s="94">
        <v>0</v>
      </c>
      <c r="AB49" s="94">
        <v>0</v>
      </c>
      <c r="AC49" s="94">
        <v>0</v>
      </c>
      <c r="AD49" s="94">
        <v>0</v>
      </c>
      <c r="AE49" s="94">
        <v>0</v>
      </c>
      <c r="AF49" s="94">
        <v>0</v>
      </c>
      <c r="AG49" s="94">
        <v>0</v>
      </c>
      <c r="AH49" s="94">
        <v>0</v>
      </c>
      <c r="AI49" s="94">
        <v>0</v>
      </c>
      <c r="AJ49" s="94">
        <v>0</v>
      </c>
      <c r="AK49" s="94">
        <v>0</v>
      </c>
      <c r="AL49" s="94">
        <v>0</v>
      </c>
      <c r="AM49" s="94">
        <v>0</v>
      </c>
      <c r="AN49" s="94">
        <v>0</v>
      </c>
      <c r="AO49" s="94">
        <v>0</v>
      </c>
      <c r="AP49" s="94">
        <v>0</v>
      </c>
      <c r="AQ49" s="94">
        <v>0</v>
      </c>
      <c r="AR49" s="94">
        <v>0</v>
      </c>
      <c r="AS49" s="94">
        <v>0</v>
      </c>
      <c r="AT49" s="94">
        <v>0</v>
      </c>
      <c r="AU49" s="94">
        <v>0</v>
      </c>
      <c r="AV49" s="94">
        <v>0</v>
      </c>
      <c r="AW49" s="94">
        <v>0</v>
      </c>
      <c r="AX49" s="93"/>
      <c r="AY49" s="47">
        <v>0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7">
        <v>0</v>
      </c>
      <c r="BN49" s="47">
        <v>0</v>
      </c>
      <c r="BO49" s="47">
        <v>0</v>
      </c>
      <c r="BP49" s="47">
        <v>0</v>
      </c>
      <c r="BQ49" s="47">
        <v>0</v>
      </c>
      <c r="BR49" s="47">
        <v>0</v>
      </c>
      <c r="BS49" s="47">
        <v>0</v>
      </c>
      <c r="BT49" s="47">
        <v>0</v>
      </c>
      <c r="BU49" s="47">
        <v>0</v>
      </c>
    </row>
    <row r="50" spans="1:73" x14ac:dyDescent="0.25">
      <c r="A50" t="s">
        <v>160</v>
      </c>
      <c r="B50" t="s">
        <v>135</v>
      </c>
      <c r="C50" s="92">
        <v>0</v>
      </c>
      <c r="D50" s="92">
        <v>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  <c r="U50" s="92">
        <v>0</v>
      </c>
      <c r="V50" s="92">
        <v>0</v>
      </c>
      <c r="W50" s="92">
        <v>0</v>
      </c>
      <c r="X50" s="92">
        <v>0</v>
      </c>
      <c r="Y50" s="92">
        <v>0</v>
      </c>
      <c r="Z50" s="93"/>
      <c r="AA50" s="94">
        <v>0</v>
      </c>
      <c r="AB50" s="94">
        <v>0</v>
      </c>
      <c r="AC50" s="94">
        <v>0</v>
      </c>
      <c r="AD50" s="94">
        <v>0</v>
      </c>
      <c r="AE50" s="94">
        <v>0</v>
      </c>
      <c r="AF50" s="94">
        <v>0</v>
      </c>
      <c r="AG50" s="94">
        <v>0</v>
      </c>
      <c r="AH50" s="94">
        <v>0</v>
      </c>
      <c r="AI50" s="94">
        <v>0</v>
      </c>
      <c r="AJ50" s="94">
        <v>0</v>
      </c>
      <c r="AK50" s="94">
        <v>0</v>
      </c>
      <c r="AL50" s="94">
        <v>0</v>
      </c>
      <c r="AM50" s="94">
        <v>0</v>
      </c>
      <c r="AN50" s="94">
        <v>0</v>
      </c>
      <c r="AO50" s="94">
        <v>0</v>
      </c>
      <c r="AP50" s="94">
        <v>0</v>
      </c>
      <c r="AQ50" s="94">
        <v>0</v>
      </c>
      <c r="AR50" s="94">
        <v>0</v>
      </c>
      <c r="AS50" s="94">
        <v>0</v>
      </c>
      <c r="AT50" s="94">
        <v>0</v>
      </c>
      <c r="AU50" s="94">
        <v>0</v>
      </c>
      <c r="AV50" s="94">
        <v>0</v>
      </c>
      <c r="AW50" s="94">
        <v>0</v>
      </c>
      <c r="AX50" s="93"/>
      <c r="AY50" s="47">
        <v>0</v>
      </c>
      <c r="AZ50" s="47">
        <v>0</v>
      </c>
      <c r="BA50" s="47">
        <v>0</v>
      </c>
      <c r="BB50" s="47">
        <v>0</v>
      </c>
      <c r="BC50" s="47">
        <v>0</v>
      </c>
      <c r="BD50" s="47">
        <v>0</v>
      </c>
      <c r="BE50" s="47">
        <v>0</v>
      </c>
      <c r="BF50" s="47">
        <v>0</v>
      </c>
      <c r="BG50" s="47">
        <v>0</v>
      </c>
      <c r="BH50" s="47">
        <v>0</v>
      </c>
      <c r="BI50" s="47">
        <v>0</v>
      </c>
      <c r="BJ50" s="47">
        <v>0</v>
      </c>
      <c r="BK50" s="47">
        <v>0</v>
      </c>
      <c r="BL50" s="47">
        <v>0</v>
      </c>
      <c r="BM50" s="47">
        <v>0</v>
      </c>
      <c r="BN50" s="47">
        <v>0</v>
      </c>
      <c r="BO50" s="47">
        <v>0</v>
      </c>
      <c r="BP50" s="47">
        <v>0</v>
      </c>
      <c r="BQ50" s="47">
        <v>0</v>
      </c>
      <c r="BR50" s="47">
        <v>0</v>
      </c>
      <c r="BS50" s="47">
        <v>0</v>
      </c>
      <c r="BT50" s="47">
        <v>0</v>
      </c>
      <c r="BU50" s="47">
        <v>0</v>
      </c>
    </row>
    <row r="51" spans="1:73" x14ac:dyDescent="0.25">
      <c r="A51" t="s">
        <v>180</v>
      </c>
      <c r="B51" t="s">
        <v>136</v>
      </c>
      <c r="C51" s="92">
        <v>0</v>
      </c>
      <c r="D51" s="96">
        <v>0.66</v>
      </c>
      <c r="E51" s="96">
        <v>0.69</v>
      </c>
      <c r="F51" s="96">
        <v>0.72</v>
      </c>
      <c r="G51" s="96">
        <v>0.74</v>
      </c>
      <c r="H51" s="96">
        <v>0.78</v>
      </c>
      <c r="I51" s="96">
        <v>0.8</v>
      </c>
      <c r="J51" s="96">
        <v>0.83</v>
      </c>
      <c r="K51" s="96">
        <v>0.86</v>
      </c>
      <c r="L51" s="96">
        <v>0.9</v>
      </c>
      <c r="M51" s="96">
        <v>0.93</v>
      </c>
      <c r="N51" s="92">
        <v>0</v>
      </c>
      <c r="O51" s="92">
        <v>0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  <c r="U51" s="92">
        <v>0</v>
      </c>
      <c r="V51" s="92">
        <v>0.3</v>
      </c>
      <c r="W51" s="92">
        <v>0</v>
      </c>
      <c r="X51" s="92">
        <v>0</v>
      </c>
      <c r="Y51" s="92">
        <v>0</v>
      </c>
      <c r="Z51" s="93"/>
      <c r="AA51" s="94">
        <v>0</v>
      </c>
      <c r="AB51" s="94">
        <v>0</v>
      </c>
      <c r="AC51" s="94">
        <v>0</v>
      </c>
      <c r="AD51" s="94">
        <v>0</v>
      </c>
      <c r="AE51" s="94">
        <v>0</v>
      </c>
      <c r="AF51" s="94">
        <v>0</v>
      </c>
      <c r="AG51" s="94">
        <v>0</v>
      </c>
      <c r="AH51" s="94">
        <v>0</v>
      </c>
      <c r="AI51" s="94">
        <v>0</v>
      </c>
      <c r="AJ51" s="94">
        <v>0</v>
      </c>
      <c r="AK51" s="94">
        <v>0</v>
      </c>
      <c r="AL51" s="94">
        <v>0</v>
      </c>
      <c r="AM51" s="94">
        <v>0</v>
      </c>
      <c r="AN51" s="94">
        <v>0</v>
      </c>
      <c r="AO51" s="94">
        <v>0</v>
      </c>
      <c r="AP51" s="94">
        <v>0</v>
      </c>
      <c r="AQ51" s="94">
        <v>0</v>
      </c>
      <c r="AR51" s="94">
        <v>0</v>
      </c>
      <c r="AS51" s="94">
        <v>0</v>
      </c>
      <c r="AT51" s="94">
        <v>0</v>
      </c>
      <c r="AU51" s="94">
        <v>0</v>
      </c>
      <c r="AV51" s="94">
        <v>0</v>
      </c>
      <c r="AW51" s="94">
        <v>0</v>
      </c>
      <c r="AX51" s="93"/>
      <c r="AY51" s="47">
        <v>0</v>
      </c>
      <c r="AZ51" s="47">
        <v>0</v>
      </c>
      <c r="BA51" s="47">
        <v>0</v>
      </c>
      <c r="BB51" s="47">
        <v>0</v>
      </c>
      <c r="BC51" s="47">
        <v>0</v>
      </c>
      <c r="BD51" s="47">
        <v>0</v>
      </c>
      <c r="BE51" s="47">
        <v>0</v>
      </c>
      <c r="BF51" s="47">
        <v>0</v>
      </c>
      <c r="BG51" s="47">
        <v>0</v>
      </c>
      <c r="BH51" s="47">
        <v>0</v>
      </c>
      <c r="BI51" s="47">
        <v>0</v>
      </c>
      <c r="BJ51" s="47">
        <v>0</v>
      </c>
      <c r="BK51" s="47">
        <v>0</v>
      </c>
      <c r="BL51" s="47">
        <v>0</v>
      </c>
      <c r="BM51" s="47">
        <v>0</v>
      </c>
      <c r="BN51" s="47">
        <v>0</v>
      </c>
      <c r="BO51" s="47">
        <v>0</v>
      </c>
      <c r="BP51" s="47">
        <v>0</v>
      </c>
      <c r="BQ51" s="47">
        <v>0</v>
      </c>
      <c r="BR51" s="47">
        <v>0</v>
      </c>
      <c r="BS51" s="47">
        <v>0</v>
      </c>
      <c r="BT51" s="47">
        <v>0</v>
      </c>
      <c r="BU51" s="47">
        <v>0</v>
      </c>
    </row>
    <row r="52" spans="1:73" x14ac:dyDescent="0.25">
      <c r="B52" t="s">
        <v>137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3"/>
      <c r="AA52" s="94">
        <v>0</v>
      </c>
      <c r="AB52" s="94">
        <v>0</v>
      </c>
      <c r="AC52" s="94">
        <v>0</v>
      </c>
      <c r="AD52" s="94">
        <v>0</v>
      </c>
      <c r="AE52" s="94">
        <v>0</v>
      </c>
      <c r="AF52" s="94">
        <v>0</v>
      </c>
      <c r="AG52" s="94">
        <v>0</v>
      </c>
      <c r="AH52" s="94">
        <v>0</v>
      </c>
      <c r="AI52" s="94">
        <v>0</v>
      </c>
      <c r="AJ52" s="94">
        <v>0</v>
      </c>
      <c r="AK52" s="94">
        <v>0</v>
      </c>
      <c r="AL52" s="94">
        <v>0</v>
      </c>
      <c r="AM52" s="94">
        <v>0</v>
      </c>
      <c r="AN52" s="94">
        <v>0</v>
      </c>
      <c r="AO52" s="94">
        <v>0</v>
      </c>
      <c r="AP52" s="94">
        <v>0</v>
      </c>
      <c r="AQ52" s="94">
        <v>0</v>
      </c>
      <c r="AR52" s="94">
        <v>0</v>
      </c>
      <c r="AS52" s="94">
        <v>0</v>
      </c>
      <c r="AT52" s="94">
        <v>0</v>
      </c>
      <c r="AU52" s="94">
        <v>0</v>
      </c>
      <c r="AV52" s="94">
        <v>0</v>
      </c>
      <c r="AW52" s="94">
        <v>0</v>
      </c>
      <c r="AX52" s="93"/>
      <c r="AY52" s="47">
        <v>0</v>
      </c>
      <c r="AZ52" s="47">
        <v>0</v>
      </c>
      <c r="BA52" s="47">
        <v>0</v>
      </c>
      <c r="BB52" s="47">
        <v>0</v>
      </c>
      <c r="BC52" s="47">
        <v>0</v>
      </c>
      <c r="BD52" s="47">
        <v>0</v>
      </c>
      <c r="BE52" s="47">
        <v>0</v>
      </c>
      <c r="BF52" s="47">
        <v>0</v>
      </c>
      <c r="BG52" s="47">
        <v>0</v>
      </c>
      <c r="BH52" s="47">
        <v>0</v>
      </c>
      <c r="BI52" s="47">
        <v>0</v>
      </c>
      <c r="BJ52" s="47">
        <v>0</v>
      </c>
      <c r="BK52" s="47">
        <v>0</v>
      </c>
      <c r="BL52" s="47">
        <v>0</v>
      </c>
      <c r="BM52" s="47">
        <v>0</v>
      </c>
      <c r="BN52" s="47">
        <v>0</v>
      </c>
      <c r="BO52" s="47">
        <v>0</v>
      </c>
      <c r="BP52" s="47">
        <v>0</v>
      </c>
      <c r="BQ52" s="47">
        <v>0</v>
      </c>
      <c r="BR52" s="47">
        <v>0</v>
      </c>
      <c r="BS52" s="47">
        <v>0</v>
      </c>
      <c r="BT52" s="47">
        <v>0</v>
      </c>
      <c r="BU52" s="47">
        <v>0</v>
      </c>
    </row>
    <row r="53" spans="1:73" x14ac:dyDescent="0.25">
      <c r="B53" t="s">
        <v>137</v>
      </c>
      <c r="C53" s="92">
        <v>0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92">
        <v>0</v>
      </c>
      <c r="O53" s="92">
        <v>0</v>
      </c>
      <c r="P53" s="92">
        <v>0</v>
      </c>
      <c r="Q53" s="92">
        <v>0</v>
      </c>
      <c r="R53" s="92">
        <v>0</v>
      </c>
      <c r="S53" s="92">
        <v>0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3"/>
      <c r="AA53" s="94">
        <v>0</v>
      </c>
      <c r="AB53" s="94">
        <v>0</v>
      </c>
      <c r="AC53" s="94">
        <v>0</v>
      </c>
      <c r="AD53" s="94">
        <v>0</v>
      </c>
      <c r="AE53" s="94">
        <v>0</v>
      </c>
      <c r="AF53" s="94">
        <v>0</v>
      </c>
      <c r="AG53" s="94">
        <v>0</v>
      </c>
      <c r="AH53" s="94">
        <v>0</v>
      </c>
      <c r="AI53" s="94">
        <v>0</v>
      </c>
      <c r="AJ53" s="94">
        <v>0</v>
      </c>
      <c r="AK53" s="94">
        <v>0</v>
      </c>
      <c r="AL53" s="94">
        <v>0</v>
      </c>
      <c r="AM53" s="94">
        <v>0</v>
      </c>
      <c r="AN53" s="94">
        <v>0</v>
      </c>
      <c r="AO53" s="94">
        <v>0</v>
      </c>
      <c r="AP53" s="94">
        <v>0</v>
      </c>
      <c r="AQ53" s="94">
        <v>0</v>
      </c>
      <c r="AR53" s="94">
        <v>0</v>
      </c>
      <c r="AS53" s="94">
        <v>0</v>
      </c>
      <c r="AT53" s="94">
        <v>0</v>
      </c>
      <c r="AU53" s="94">
        <v>0</v>
      </c>
      <c r="AV53" s="94">
        <v>0</v>
      </c>
      <c r="AW53" s="94">
        <v>0</v>
      </c>
      <c r="AX53" s="93"/>
      <c r="AY53" s="47">
        <v>0</v>
      </c>
      <c r="AZ53" s="47">
        <v>0</v>
      </c>
      <c r="BA53" s="47">
        <v>0</v>
      </c>
      <c r="BB53" s="47">
        <v>0</v>
      </c>
      <c r="BC53" s="47">
        <v>0</v>
      </c>
      <c r="BD53" s="47">
        <v>0</v>
      </c>
      <c r="BE53" s="47">
        <v>0</v>
      </c>
      <c r="BF53" s="47">
        <v>0</v>
      </c>
      <c r="BG53" s="47">
        <v>0</v>
      </c>
      <c r="BH53" s="47">
        <v>0</v>
      </c>
      <c r="BI53" s="47">
        <v>0</v>
      </c>
      <c r="BJ53" s="47">
        <v>0</v>
      </c>
      <c r="BK53" s="47">
        <v>0</v>
      </c>
      <c r="BL53" s="47">
        <v>0</v>
      </c>
      <c r="BM53" s="47">
        <v>0</v>
      </c>
      <c r="BN53" s="47">
        <v>0</v>
      </c>
      <c r="BO53" s="47">
        <v>0</v>
      </c>
      <c r="BP53" s="47">
        <v>0</v>
      </c>
      <c r="BQ53" s="47">
        <v>0</v>
      </c>
      <c r="BR53" s="47">
        <v>0</v>
      </c>
      <c r="BS53" s="47">
        <v>0</v>
      </c>
      <c r="BT53" s="47">
        <v>0</v>
      </c>
      <c r="BU53" s="47">
        <v>0</v>
      </c>
    </row>
    <row r="54" spans="1:73" x14ac:dyDescent="0.25">
      <c r="A54" t="s">
        <v>159</v>
      </c>
      <c r="B54" t="s">
        <v>138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  <c r="U54" s="92">
        <v>0</v>
      </c>
      <c r="V54" s="92">
        <v>0</v>
      </c>
      <c r="W54" s="92">
        <v>0</v>
      </c>
      <c r="X54" s="92">
        <v>0</v>
      </c>
      <c r="Y54" s="92">
        <v>0</v>
      </c>
      <c r="Z54" s="97"/>
      <c r="AA54" s="92">
        <v>0</v>
      </c>
      <c r="AB54" s="92">
        <v>0</v>
      </c>
      <c r="AC54" s="92">
        <v>0</v>
      </c>
      <c r="AD54" s="92">
        <v>0</v>
      </c>
      <c r="AE54" s="92">
        <v>0</v>
      </c>
      <c r="AF54" s="92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0</v>
      </c>
      <c r="AN54" s="92">
        <v>0</v>
      </c>
      <c r="AO54" s="92">
        <v>0</v>
      </c>
      <c r="AP54" s="92">
        <v>0</v>
      </c>
      <c r="AQ54" s="92">
        <v>0</v>
      </c>
      <c r="AR54" s="92">
        <v>0</v>
      </c>
      <c r="AS54" s="92">
        <v>0</v>
      </c>
      <c r="AT54" s="92">
        <v>0</v>
      </c>
      <c r="AU54" s="92">
        <v>0</v>
      </c>
      <c r="AV54" s="92">
        <v>0</v>
      </c>
      <c r="AW54" s="92">
        <v>0</v>
      </c>
      <c r="AX54" s="93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</row>
    <row r="55" spans="1:73" x14ac:dyDescent="0.25">
      <c r="A55" t="s">
        <v>159</v>
      </c>
      <c r="B55" t="s">
        <v>139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0</v>
      </c>
      <c r="V55" s="92">
        <v>0</v>
      </c>
      <c r="W55" s="92">
        <v>0</v>
      </c>
      <c r="X55" s="92">
        <v>0</v>
      </c>
      <c r="Y55" s="92">
        <v>0</v>
      </c>
      <c r="Z55" s="97"/>
      <c r="AA55" s="92">
        <v>0</v>
      </c>
      <c r="AB55" s="92">
        <v>0</v>
      </c>
      <c r="AC55" s="92">
        <v>0</v>
      </c>
      <c r="AD55" s="92">
        <v>0</v>
      </c>
      <c r="AE55" s="92">
        <v>0</v>
      </c>
      <c r="AF55" s="92">
        <v>0</v>
      </c>
      <c r="AG55" s="92">
        <v>0</v>
      </c>
      <c r="AH55" s="92">
        <v>0</v>
      </c>
      <c r="AI55" s="92">
        <v>0</v>
      </c>
      <c r="AJ55" s="92">
        <v>0</v>
      </c>
      <c r="AK55" s="92">
        <v>0</v>
      </c>
      <c r="AL55" s="92">
        <v>0</v>
      </c>
      <c r="AM55" s="92">
        <v>0</v>
      </c>
      <c r="AN55" s="92">
        <v>0</v>
      </c>
      <c r="AO55" s="92">
        <v>0</v>
      </c>
      <c r="AP55" s="92">
        <v>0</v>
      </c>
      <c r="AQ55" s="92">
        <v>0</v>
      </c>
      <c r="AR55" s="92">
        <v>0</v>
      </c>
      <c r="AS55" s="92">
        <v>0</v>
      </c>
      <c r="AT55" s="92">
        <v>0</v>
      </c>
      <c r="AU55" s="92">
        <v>0</v>
      </c>
      <c r="AV55" s="92">
        <v>0</v>
      </c>
      <c r="AW55" s="92">
        <v>0</v>
      </c>
      <c r="AX55" s="93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</row>
    <row r="56" spans="1:73" x14ac:dyDescent="0.25">
      <c r="A56" t="s">
        <v>159</v>
      </c>
      <c r="B56" t="s">
        <v>140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7"/>
      <c r="AA56" s="92">
        <v>0</v>
      </c>
      <c r="AB56" s="92">
        <v>0</v>
      </c>
      <c r="AC56" s="92">
        <v>0</v>
      </c>
      <c r="AD56" s="92">
        <v>0</v>
      </c>
      <c r="AE56" s="92">
        <v>0</v>
      </c>
      <c r="AF56" s="92">
        <v>0</v>
      </c>
      <c r="AG56" s="92">
        <v>0</v>
      </c>
      <c r="AH56" s="92">
        <v>0</v>
      </c>
      <c r="AI56" s="92">
        <v>0</v>
      </c>
      <c r="AJ56" s="92">
        <v>0</v>
      </c>
      <c r="AK56" s="92">
        <v>0</v>
      </c>
      <c r="AL56" s="92">
        <v>0</v>
      </c>
      <c r="AM56" s="92">
        <v>0</v>
      </c>
      <c r="AN56" s="92">
        <v>0</v>
      </c>
      <c r="AO56" s="92">
        <v>0</v>
      </c>
      <c r="AP56" s="92">
        <v>0</v>
      </c>
      <c r="AQ56" s="92">
        <v>0</v>
      </c>
      <c r="AR56" s="92">
        <v>0</v>
      </c>
      <c r="AS56" s="92">
        <v>0</v>
      </c>
      <c r="AT56" s="92">
        <v>0</v>
      </c>
      <c r="AU56" s="92">
        <v>0</v>
      </c>
      <c r="AV56" s="92">
        <v>0</v>
      </c>
      <c r="AW56" s="92">
        <v>0</v>
      </c>
      <c r="AX56" s="93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</row>
    <row r="57" spans="1:73" x14ac:dyDescent="0.25">
      <c r="A57" t="s">
        <v>159</v>
      </c>
      <c r="B57" t="s">
        <v>141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92">
        <v>0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7"/>
      <c r="AA57" s="92">
        <v>0</v>
      </c>
      <c r="AB57" s="92">
        <v>0</v>
      </c>
      <c r="AC57" s="92">
        <v>0</v>
      </c>
      <c r="AD57" s="92">
        <v>0</v>
      </c>
      <c r="AE57" s="92">
        <v>0</v>
      </c>
      <c r="AF57" s="92">
        <v>0</v>
      </c>
      <c r="AG57" s="92">
        <v>0</v>
      </c>
      <c r="AH57" s="92">
        <v>0</v>
      </c>
      <c r="AI57" s="92">
        <v>0</v>
      </c>
      <c r="AJ57" s="92">
        <v>0</v>
      </c>
      <c r="AK57" s="92">
        <v>0</v>
      </c>
      <c r="AL57" s="92">
        <v>0</v>
      </c>
      <c r="AM57" s="92">
        <v>0</v>
      </c>
      <c r="AN57" s="92">
        <v>0</v>
      </c>
      <c r="AO57" s="92">
        <v>0</v>
      </c>
      <c r="AP57" s="92">
        <v>0</v>
      </c>
      <c r="AQ57" s="92">
        <v>0</v>
      </c>
      <c r="AR57" s="92">
        <v>0</v>
      </c>
      <c r="AS57" s="92">
        <v>0</v>
      </c>
      <c r="AT57" s="92">
        <v>0</v>
      </c>
      <c r="AU57" s="92">
        <v>0</v>
      </c>
      <c r="AV57" s="92">
        <v>0</v>
      </c>
      <c r="AW57" s="92">
        <v>0</v>
      </c>
      <c r="AX57" s="93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</row>
    <row r="58" spans="1:73" x14ac:dyDescent="0.25">
      <c r="A58" t="s">
        <v>159</v>
      </c>
      <c r="B58" t="s">
        <v>142</v>
      </c>
      <c r="C58" s="92">
        <v>0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  <c r="U58" s="92">
        <v>0</v>
      </c>
      <c r="V58" s="92">
        <v>0</v>
      </c>
      <c r="W58" s="92">
        <v>0</v>
      </c>
      <c r="X58" s="92">
        <v>0</v>
      </c>
      <c r="Y58" s="92">
        <v>0</v>
      </c>
      <c r="Z58" s="97"/>
      <c r="AA58" s="92">
        <v>0</v>
      </c>
      <c r="AB58" s="92">
        <v>0</v>
      </c>
      <c r="AC58" s="92">
        <v>0</v>
      </c>
      <c r="AD58" s="92">
        <v>0</v>
      </c>
      <c r="AE58" s="92">
        <v>0</v>
      </c>
      <c r="AF58" s="92">
        <v>0</v>
      </c>
      <c r="AG58" s="92">
        <v>0</v>
      </c>
      <c r="AH58" s="92">
        <v>0</v>
      </c>
      <c r="AI58" s="92">
        <v>0</v>
      </c>
      <c r="AJ58" s="92">
        <v>0</v>
      </c>
      <c r="AK58" s="92">
        <v>0</v>
      </c>
      <c r="AL58" s="92">
        <v>0</v>
      </c>
      <c r="AM58" s="92">
        <v>0</v>
      </c>
      <c r="AN58" s="92">
        <v>0</v>
      </c>
      <c r="AO58" s="92">
        <v>0</v>
      </c>
      <c r="AP58" s="92">
        <v>0</v>
      </c>
      <c r="AQ58" s="92">
        <v>0</v>
      </c>
      <c r="AR58" s="92">
        <v>0</v>
      </c>
      <c r="AS58" s="92">
        <v>0</v>
      </c>
      <c r="AT58" s="92">
        <v>0</v>
      </c>
      <c r="AU58" s="92">
        <v>0</v>
      </c>
      <c r="AV58" s="92">
        <v>0</v>
      </c>
      <c r="AW58" s="92">
        <v>0</v>
      </c>
      <c r="AX58" s="93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</row>
    <row r="59" spans="1:73" x14ac:dyDescent="0.25">
      <c r="A59" t="s">
        <v>159</v>
      </c>
      <c r="B59" t="s">
        <v>143</v>
      </c>
      <c r="C59" s="92">
        <v>0</v>
      </c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  <c r="U59" s="92">
        <v>0</v>
      </c>
      <c r="V59" s="92">
        <v>0</v>
      </c>
      <c r="W59" s="92">
        <v>0</v>
      </c>
      <c r="X59" s="92">
        <v>0</v>
      </c>
      <c r="Y59" s="92">
        <v>0</v>
      </c>
      <c r="Z59" s="97"/>
      <c r="AA59" s="92">
        <v>0</v>
      </c>
      <c r="AB59" s="92">
        <v>0</v>
      </c>
      <c r="AC59" s="92">
        <v>0</v>
      </c>
      <c r="AD59" s="92">
        <v>0</v>
      </c>
      <c r="AE59" s="92">
        <v>0</v>
      </c>
      <c r="AF59" s="92">
        <v>0</v>
      </c>
      <c r="AG59" s="92">
        <v>0</v>
      </c>
      <c r="AH59" s="92">
        <v>0</v>
      </c>
      <c r="AI59" s="92">
        <v>0</v>
      </c>
      <c r="AJ59" s="92">
        <v>0</v>
      </c>
      <c r="AK59" s="92">
        <v>0</v>
      </c>
      <c r="AL59" s="92">
        <v>0</v>
      </c>
      <c r="AM59" s="92">
        <v>0</v>
      </c>
      <c r="AN59" s="92">
        <v>0</v>
      </c>
      <c r="AO59" s="92">
        <v>0</v>
      </c>
      <c r="AP59" s="92">
        <v>0</v>
      </c>
      <c r="AQ59" s="92">
        <v>0</v>
      </c>
      <c r="AR59" s="92">
        <v>0</v>
      </c>
      <c r="AS59" s="92">
        <v>0</v>
      </c>
      <c r="AT59" s="92">
        <v>0</v>
      </c>
      <c r="AU59" s="92">
        <v>0</v>
      </c>
      <c r="AV59" s="92">
        <v>0</v>
      </c>
      <c r="AW59" s="92">
        <v>0</v>
      </c>
      <c r="AX59" s="93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</row>
    <row r="60" spans="1:73" x14ac:dyDescent="0.25">
      <c r="A60" t="s">
        <v>159</v>
      </c>
      <c r="B60" t="s">
        <v>144</v>
      </c>
      <c r="C60" s="92">
        <v>0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  <c r="S60" s="92">
        <v>0</v>
      </c>
      <c r="T60" s="92">
        <v>0</v>
      </c>
      <c r="U60" s="92">
        <v>0</v>
      </c>
      <c r="V60" s="92">
        <v>0</v>
      </c>
      <c r="W60" s="92">
        <v>0</v>
      </c>
      <c r="X60" s="92">
        <v>0</v>
      </c>
      <c r="Y60" s="92">
        <v>0</v>
      </c>
      <c r="Z60" s="97"/>
      <c r="AA60" s="92">
        <v>0</v>
      </c>
      <c r="AB60" s="92">
        <v>0</v>
      </c>
      <c r="AC60" s="92">
        <v>0</v>
      </c>
      <c r="AD60" s="92">
        <v>0</v>
      </c>
      <c r="AE60" s="92">
        <v>0</v>
      </c>
      <c r="AF60" s="92">
        <v>0</v>
      </c>
      <c r="AG60" s="92">
        <v>0</v>
      </c>
      <c r="AH60" s="92">
        <v>0</v>
      </c>
      <c r="AI60" s="92">
        <v>0</v>
      </c>
      <c r="AJ60" s="92">
        <v>0</v>
      </c>
      <c r="AK60" s="92">
        <v>0</v>
      </c>
      <c r="AL60" s="92">
        <v>0</v>
      </c>
      <c r="AM60" s="92">
        <v>0</v>
      </c>
      <c r="AN60" s="92">
        <v>0</v>
      </c>
      <c r="AO60" s="92">
        <v>0</v>
      </c>
      <c r="AP60" s="92">
        <v>0</v>
      </c>
      <c r="AQ60" s="92">
        <v>0</v>
      </c>
      <c r="AR60" s="92">
        <v>0</v>
      </c>
      <c r="AS60" s="92">
        <v>0</v>
      </c>
      <c r="AT60" s="92">
        <v>0</v>
      </c>
      <c r="AU60" s="92">
        <v>0</v>
      </c>
      <c r="AV60" s="92">
        <v>0</v>
      </c>
      <c r="AW60" s="92">
        <v>0</v>
      </c>
      <c r="AX60" s="93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</row>
    <row r="61" spans="1:73" x14ac:dyDescent="0.25">
      <c r="A61" t="s">
        <v>159</v>
      </c>
      <c r="B61" t="s">
        <v>145</v>
      </c>
      <c r="C61" s="92">
        <v>0</v>
      </c>
      <c r="D61" s="92">
        <v>0</v>
      </c>
      <c r="E61" s="92">
        <v>0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92">
        <v>0</v>
      </c>
      <c r="Q61" s="92">
        <v>0</v>
      </c>
      <c r="R61" s="92">
        <v>0</v>
      </c>
      <c r="S61" s="92">
        <v>0</v>
      </c>
      <c r="T61" s="92">
        <v>0</v>
      </c>
      <c r="U61" s="92">
        <v>0</v>
      </c>
      <c r="V61" s="92">
        <v>0</v>
      </c>
      <c r="W61" s="92">
        <v>0</v>
      </c>
      <c r="X61" s="92">
        <v>0</v>
      </c>
      <c r="Y61" s="92">
        <v>0</v>
      </c>
      <c r="Z61" s="97"/>
      <c r="AA61" s="92">
        <v>0</v>
      </c>
      <c r="AB61" s="92">
        <v>0</v>
      </c>
      <c r="AC61" s="92">
        <v>0</v>
      </c>
      <c r="AD61" s="92">
        <v>0</v>
      </c>
      <c r="AE61" s="92">
        <v>0</v>
      </c>
      <c r="AF61" s="92">
        <v>0</v>
      </c>
      <c r="AG61" s="92">
        <v>0</v>
      </c>
      <c r="AH61" s="92">
        <v>0</v>
      </c>
      <c r="AI61" s="92">
        <v>0</v>
      </c>
      <c r="AJ61" s="92">
        <v>0</v>
      </c>
      <c r="AK61" s="92">
        <v>0</v>
      </c>
      <c r="AL61" s="92">
        <v>0</v>
      </c>
      <c r="AM61" s="92">
        <v>0</v>
      </c>
      <c r="AN61" s="92">
        <v>0</v>
      </c>
      <c r="AO61" s="92">
        <v>0</v>
      </c>
      <c r="AP61" s="92">
        <v>0</v>
      </c>
      <c r="AQ61" s="92">
        <v>0</v>
      </c>
      <c r="AR61" s="92">
        <v>0</v>
      </c>
      <c r="AS61" s="92">
        <v>0</v>
      </c>
      <c r="AT61" s="92">
        <v>0</v>
      </c>
      <c r="AU61" s="92">
        <v>0</v>
      </c>
      <c r="AV61" s="92">
        <v>0</v>
      </c>
      <c r="AW61" s="92">
        <v>0</v>
      </c>
      <c r="AX61" s="93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</row>
    <row r="62" spans="1:73" x14ac:dyDescent="0.25">
      <c r="A62" t="s">
        <v>159</v>
      </c>
      <c r="B62" t="s">
        <v>146</v>
      </c>
      <c r="C62" s="92">
        <v>0</v>
      </c>
      <c r="D62" s="92">
        <v>0</v>
      </c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7"/>
      <c r="AA62" s="92">
        <v>0</v>
      </c>
      <c r="AB62" s="92">
        <v>0</v>
      </c>
      <c r="AC62" s="92">
        <v>0</v>
      </c>
      <c r="AD62" s="92">
        <v>0</v>
      </c>
      <c r="AE62" s="92">
        <v>0</v>
      </c>
      <c r="AF62" s="92">
        <v>0</v>
      </c>
      <c r="AG62" s="92">
        <v>0</v>
      </c>
      <c r="AH62" s="92">
        <v>0</v>
      </c>
      <c r="AI62" s="92">
        <v>0</v>
      </c>
      <c r="AJ62" s="92">
        <v>0</v>
      </c>
      <c r="AK62" s="92">
        <v>0</v>
      </c>
      <c r="AL62" s="92">
        <v>0</v>
      </c>
      <c r="AM62" s="92">
        <v>0</v>
      </c>
      <c r="AN62" s="92">
        <v>0</v>
      </c>
      <c r="AO62" s="92">
        <v>0</v>
      </c>
      <c r="AP62" s="92">
        <v>0</v>
      </c>
      <c r="AQ62" s="92">
        <v>0</v>
      </c>
      <c r="AR62" s="92">
        <v>0</v>
      </c>
      <c r="AS62" s="92">
        <v>0</v>
      </c>
      <c r="AT62" s="92">
        <v>0</v>
      </c>
      <c r="AU62" s="92">
        <v>0</v>
      </c>
      <c r="AV62" s="92">
        <v>0</v>
      </c>
      <c r="AW62" s="92">
        <v>0</v>
      </c>
      <c r="AX62" s="93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</row>
    <row r="63" spans="1:73" x14ac:dyDescent="0.25">
      <c r="A63" t="s">
        <v>159</v>
      </c>
      <c r="B63" t="s">
        <v>147</v>
      </c>
      <c r="C63" s="92">
        <v>0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  <c r="U63" s="92">
        <v>0</v>
      </c>
      <c r="V63" s="92">
        <v>0</v>
      </c>
      <c r="W63" s="92">
        <v>0</v>
      </c>
      <c r="X63" s="92">
        <v>0</v>
      </c>
      <c r="Y63" s="92">
        <v>0</v>
      </c>
      <c r="Z63" s="97"/>
      <c r="AA63" s="92">
        <v>0</v>
      </c>
      <c r="AB63" s="92">
        <v>0</v>
      </c>
      <c r="AC63" s="92">
        <v>0</v>
      </c>
      <c r="AD63" s="92">
        <v>0</v>
      </c>
      <c r="AE63" s="92">
        <v>0</v>
      </c>
      <c r="AF63" s="92">
        <v>0</v>
      </c>
      <c r="AG63" s="92">
        <v>0</v>
      </c>
      <c r="AH63" s="92">
        <v>0</v>
      </c>
      <c r="AI63" s="92">
        <v>0</v>
      </c>
      <c r="AJ63" s="92">
        <v>0</v>
      </c>
      <c r="AK63" s="92">
        <v>0</v>
      </c>
      <c r="AL63" s="92">
        <v>0</v>
      </c>
      <c r="AM63" s="92">
        <v>0</v>
      </c>
      <c r="AN63" s="92">
        <v>0</v>
      </c>
      <c r="AO63" s="92">
        <v>0</v>
      </c>
      <c r="AP63" s="92">
        <v>0</v>
      </c>
      <c r="AQ63" s="92">
        <v>0</v>
      </c>
      <c r="AR63" s="92">
        <v>0</v>
      </c>
      <c r="AS63" s="92">
        <v>0</v>
      </c>
      <c r="AT63" s="92">
        <v>0</v>
      </c>
      <c r="AU63" s="92">
        <v>0</v>
      </c>
      <c r="AV63" s="92">
        <v>0</v>
      </c>
      <c r="AW63" s="92">
        <v>0</v>
      </c>
      <c r="AX63" s="93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</row>
    <row r="64" spans="1:73" x14ac:dyDescent="0.25">
      <c r="A64" t="s">
        <v>159</v>
      </c>
      <c r="B64" t="s">
        <v>148</v>
      </c>
      <c r="C64" s="92">
        <v>0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  <c r="U64" s="92">
        <v>0</v>
      </c>
      <c r="V64" s="92">
        <v>0</v>
      </c>
      <c r="W64" s="92">
        <v>0</v>
      </c>
      <c r="X64" s="92">
        <v>0</v>
      </c>
      <c r="Y64" s="92">
        <v>0</v>
      </c>
      <c r="Z64" s="97"/>
      <c r="AA64" s="92">
        <v>0</v>
      </c>
      <c r="AB64" s="92">
        <v>0</v>
      </c>
      <c r="AC64" s="92">
        <v>0</v>
      </c>
      <c r="AD64" s="92">
        <v>0</v>
      </c>
      <c r="AE64" s="92">
        <v>0</v>
      </c>
      <c r="AF64" s="92">
        <v>0</v>
      </c>
      <c r="AG64" s="92">
        <v>0</v>
      </c>
      <c r="AH64" s="92">
        <v>0</v>
      </c>
      <c r="AI64" s="92">
        <v>0</v>
      </c>
      <c r="AJ64" s="92">
        <v>0</v>
      </c>
      <c r="AK64" s="92">
        <v>0</v>
      </c>
      <c r="AL64" s="92">
        <v>0</v>
      </c>
      <c r="AM64" s="92">
        <v>0</v>
      </c>
      <c r="AN64" s="92">
        <v>0</v>
      </c>
      <c r="AO64" s="92">
        <v>0</v>
      </c>
      <c r="AP64" s="92">
        <v>0</v>
      </c>
      <c r="AQ64" s="92">
        <v>0</v>
      </c>
      <c r="AR64" s="92">
        <v>0</v>
      </c>
      <c r="AS64" s="92">
        <v>0</v>
      </c>
      <c r="AT64" s="92">
        <v>0</v>
      </c>
      <c r="AU64" s="92">
        <v>0</v>
      </c>
      <c r="AV64" s="92">
        <v>0</v>
      </c>
      <c r="AW64" s="92">
        <v>0</v>
      </c>
      <c r="AX64" s="93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</row>
    <row r="65" spans="1:73" x14ac:dyDescent="0.25">
      <c r="A65" t="s">
        <v>159</v>
      </c>
      <c r="B65" t="s">
        <v>149</v>
      </c>
      <c r="C65" s="92">
        <v>0</v>
      </c>
      <c r="D65" s="92">
        <v>0</v>
      </c>
      <c r="E65" s="92">
        <v>0</v>
      </c>
      <c r="F65" s="92">
        <v>0</v>
      </c>
      <c r="G65" s="92">
        <v>0</v>
      </c>
      <c r="H65" s="92">
        <v>0</v>
      </c>
      <c r="I65" s="92">
        <v>0</v>
      </c>
      <c r="J65" s="92">
        <v>0</v>
      </c>
      <c r="K65" s="92">
        <v>0</v>
      </c>
      <c r="L65" s="92">
        <v>0</v>
      </c>
      <c r="M65" s="92">
        <v>0</v>
      </c>
      <c r="N65" s="92">
        <v>0</v>
      </c>
      <c r="O65" s="92">
        <v>0</v>
      </c>
      <c r="P65" s="92">
        <v>0</v>
      </c>
      <c r="Q65" s="92">
        <v>0</v>
      </c>
      <c r="R65" s="92">
        <v>0</v>
      </c>
      <c r="S65" s="92">
        <v>0</v>
      </c>
      <c r="T65" s="92">
        <v>0</v>
      </c>
      <c r="U65" s="92">
        <v>0</v>
      </c>
      <c r="V65" s="92">
        <v>0</v>
      </c>
      <c r="W65" s="92">
        <v>0</v>
      </c>
      <c r="X65" s="92">
        <v>0</v>
      </c>
      <c r="Y65" s="92">
        <v>0</v>
      </c>
      <c r="Z65" s="97"/>
      <c r="AA65" s="92">
        <v>0</v>
      </c>
      <c r="AB65" s="92">
        <v>0</v>
      </c>
      <c r="AC65" s="92">
        <v>0</v>
      </c>
      <c r="AD65" s="92">
        <v>0</v>
      </c>
      <c r="AE65" s="92">
        <v>0</v>
      </c>
      <c r="AF65" s="92">
        <v>0</v>
      </c>
      <c r="AG65" s="92">
        <v>0</v>
      </c>
      <c r="AH65" s="92">
        <v>0</v>
      </c>
      <c r="AI65" s="92">
        <v>0</v>
      </c>
      <c r="AJ65" s="92">
        <v>0</v>
      </c>
      <c r="AK65" s="92">
        <v>0</v>
      </c>
      <c r="AL65" s="92">
        <v>0</v>
      </c>
      <c r="AM65" s="92">
        <v>0</v>
      </c>
      <c r="AN65" s="92">
        <v>0</v>
      </c>
      <c r="AO65" s="92">
        <v>0</v>
      </c>
      <c r="AP65" s="92">
        <v>0</v>
      </c>
      <c r="AQ65" s="92">
        <v>0</v>
      </c>
      <c r="AR65" s="92">
        <v>0</v>
      </c>
      <c r="AS65" s="92">
        <v>0</v>
      </c>
      <c r="AT65" s="92">
        <v>0</v>
      </c>
      <c r="AU65" s="92">
        <v>0</v>
      </c>
      <c r="AV65" s="92">
        <v>0</v>
      </c>
      <c r="AW65" s="92">
        <v>0</v>
      </c>
      <c r="AX65" s="93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</row>
    <row r="66" spans="1:73" x14ac:dyDescent="0.25">
      <c r="A66" t="s">
        <v>159</v>
      </c>
      <c r="B66" t="s">
        <v>150</v>
      </c>
      <c r="C66" s="92">
        <v>0</v>
      </c>
      <c r="D66" s="92">
        <v>0</v>
      </c>
      <c r="E66" s="92">
        <v>6.8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0</v>
      </c>
      <c r="S66" s="92">
        <v>0</v>
      </c>
      <c r="T66" s="92">
        <v>0</v>
      </c>
      <c r="U66" s="92">
        <v>0</v>
      </c>
      <c r="V66" s="92">
        <v>0</v>
      </c>
      <c r="W66" s="92">
        <v>0</v>
      </c>
      <c r="X66" s="92">
        <v>0</v>
      </c>
      <c r="Y66" s="92">
        <v>0</v>
      </c>
      <c r="Z66" s="97"/>
      <c r="AA66" s="92">
        <v>0</v>
      </c>
      <c r="AB66" s="92">
        <v>0</v>
      </c>
      <c r="AC66" s="92">
        <v>0</v>
      </c>
      <c r="AD66" s="92">
        <v>0</v>
      </c>
      <c r="AE66" s="92">
        <v>0</v>
      </c>
      <c r="AF66" s="92">
        <v>0</v>
      </c>
      <c r="AG66" s="92">
        <v>0</v>
      </c>
      <c r="AH66" s="92">
        <v>0</v>
      </c>
      <c r="AI66" s="92">
        <v>0</v>
      </c>
      <c r="AJ66" s="92">
        <v>0</v>
      </c>
      <c r="AK66" s="92">
        <v>0</v>
      </c>
      <c r="AL66" s="92">
        <v>0</v>
      </c>
      <c r="AM66" s="92">
        <v>0</v>
      </c>
      <c r="AN66" s="92">
        <v>0</v>
      </c>
      <c r="AO66" s="92">
        <v>0</v>
      </c>
      <c r="AP66" s="92">
        <v>0</v>
      </c>
      <c r="AQ66" s="92">
        <v>0</v>
      </c>
      <c r="AR66" s="92">
        <v>0</v>
      </c>
      <c r="AS66" s="92">
        <v>0</v>
      </c>
      <c r="AT66" s="92">
        <v>0</v>
      </c>
      <c r="AU66" s="92">
        <v>0</v>
      </c>
      <c r="AV66" s="92">
        <v>0</v>
      </c>
      <c r="AW66" s="92">
        <v>0</v>
      </c>
      <c r="AX66" s="93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</row>
    <row r="67" spans="1:73" x14ac:dyDescent="0.25">
      <c r="A67" t="s">
        <v>159</v>
      </c>
      <c r="B67" s="6" t="s">
        <v>151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  <c r="U67" s="92">
        <v>0</v>
      </c>
      <c r="V67" s="92">
        <v>0</v>
      </c>
      <c r="W67" s="92">
        <v>0</v>
      </c>
      <c r="X67" s="92">
        <v>0</v>
      </c>
      <c r="Y67" s="92">
        <v>0</v>
      </c>
      <c r="Z67" s="97"/>
      <c r="AA67" s="92">
        <v>0</v>
      </c>
      <c r="AB67" s="92">
        <v>0</v>
      </c>
      <c r="AC67" s="92">
        <v>0</v>
      </c>
      <c r="AD67" s="92">
        <v>0</v>
      </c>
      <c r="AE67" s="92">
        <v>0</v>
      </c>
      <c r="AF67" s="92">
        <v>0</v>
      </c>
      <c r="AG67" s="92">
        <v>0</v>
      </c>
      <c r="AH67" s="92">
        <v>0</v>
      </c>
      <c r="AI67" s="92">
        <v>0</v>
      </c>
      <c r="AJ67" s="92">
        <v>0</v>
      </c>
      <c r="AK67" s="92">
        <v>0</v>
      </c>
      <c r="AL67" s="92">
        <v>0</v>
      </c>
      <c r="AM67" s="92">
        <v>0</v>
      </c>
      <c r="AN67" s="92">
        <v>0</v>
      </c>
      <c r="AO67" s="92">
        <v>0</v>
      </c>
      <c r="AP67" s="92">
        <v>0</v>
      </c>
      <c r="AQ67" s="92">
        <v>0</v>
      </c>
      <c r="AR67" s="92">
        <v>0</v>
      </c>
      <c r="AS67" s="92">
        <v>0</v>
      </c>
      <c r="AT67" s="92">
        <v>0</v>
      </c>
      <c r="AU67" s="92">
        <v>0</v>
      </c>
      <c r="AV67" s="92">
        <v>0</v>
      </c>
      <c r="AW67" s="92">
        <v>0</v>
      </c>
      <c r="AX67" s="93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</row>
    <row r="68" spans="1:73" x14ac:dyDescent="0.25">
      <c r="A68" t="s">
        <v>159</v>
      </c>
      <c r="B68" t="s">
        <v>152</v>
      </c>
      <c r="C68" s="92">
        <v>0</v>
      </c>
      <c r="D68" s="92">
        <v>0</v>
      </c>
      <c r="E68" s="92">
        <v>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  <c r="U68" s="92">
        <v>0</v>
      </c>
      <c r="V68" s="92">
        <v>0</v>
      </c>
      <c r="W68" s="92">
        <v>0</v>
      </c>
      <c r="X68" s="92">
        <v>0</v>
      </c>
      <c r="Y68" s="92">
        <v>0</v>
      </c>
      <c r="Z68" s="97"/>
      <c r="AA68" s="92">
        <v>0</v>
      </c>
      <c r="AB68" s="92">
        <v>0</v>
      </c>
      <c r="AC68" s="92">
        <v>0</v>
      </c>
      <c r="AD68" s="92">
        <v>0</v>
      </c>
      <c r="AE68" s="92">
        <v>0</v>
      </c>
      <c r="AF68" s="92">
        <v>0</v>
      </c>
      <c r="AG68" s="92">
        <v>0</v>
      </c>
      <c r="AH68" s="92">
        <v>0</v>
      </c>
      <c r="AI68" s="92">
        <v>0</v>
      </c>
      <c r="AJ68" s="92">
        <v>0</v>
      </c>
      <c r="AK68" s="92">
        <v>0</v>
      </c>
      <c r="AL68" s="92">
        <v>0</v>
      </c>
      <c r="AM68" s="92">
        <v>0</v>
      </c>
      <c r="AN68" s="92">
        <v>0</v>
      </c>
      <c r="AO68" s="92">
        <v>0</v>
      </c>
      <c r="AP68" s="92">
        <v>0</v>
      </c>
      <c r="AQ68" s="92">
        <v>0</v>
      </c>
      <c r="AR68" s="92">
        <v>0</v>
      </c>
      <c r="AS68" s="92">
        <v>0</v>
      </c>
      <c r="AT68" s="92">
        <v>0</v>
      </c>
      <c r="AU68" s="92">
        <v>0</v>
      </c>
      <c r="AV68" s="92">
        <v>0</v>
      </c>
      <c r="AW68" s="92">
        <v>0</v>
      </c>
      <c r="AX68" s="93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</row>
    <row r="69" spans="1:73" x14ac:dyDescent="0.25">
      <c r="A69" t="s">
        <v>159</v>
      </c>
      <c r="B69" t="s">
        <v>153</v>
      </c>
      <c r="C69" s="92">
        <v>0</v>
      </c>
      <c r="D69" s="92">
        <v>0</v>
      </c>
      <c r="E69" s="92">
        <v>0</v>
      </c>
      <c r="F69" s="92">
        <v>0</v>
      </c>
      <c r="G69" s="92">
        <v>0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</v>
      </c>
      <c r="O69" s="92">
        <v>0</v>
      </c>
      <c r="P69" s="92">
        <v>0</v>
      </c>
      <c r="Q69" s="92">
        <v>0</v>
      </c>
      <c r="R69" s="92">
        <v>0</v>
      </c>
      <c r="S69" s="92">
        <v>0</v>
      </c>
      <c r="T69" s="92">
        <v>0</v>
      </c>
      <c r="U69" s="92">
        <v>0</v>
      </c>
      <c r="V69" s="92">
        <v>0</v>
      </c>
      <c r="W69" s="92">
        <v>0</v>
      </c>
      <c r="X69" s="92">
        <v>0</v>
      </c>
      <c r="Y69" s="92">
        <v>0</v>
      </c>
      <c r="Z69" s="97"/>
      <c r="AA69" s="92">
        <v>0</v>
      </c>
      <c r="AB69" s="92">
        <v>0</v>
      </c>
      <c r="AC69" s="92">
        <v>0</v>
      </c>
      <c r="AD69" s="92">
        <v>0</v>
      </c>
      <c r="AE69" s="92">
        <v>0</v>
      </c>
      <c r="AF69" s="92">
        <v>0</v>
      </c>
      <c r="AG69" s="92">
        <v>0</v>
      </c>
      <c r="AH69" s="92">
        <v>0</v>
      </c>
      <c r="AI69" s="92">
        <v>0</v>
      </c>
      <c r="AJ69" s="92">
        <v>0</v>
      </c>
      <c r="AK69" s="92">
        <v>0</v>
      </c>
      <c r="AL69" s="92">
        <v>0</v>
      </c>
      <c r="AM69" s="92">
        <v>0</v>
      </c>
      <c r="AN69" s="92">
        <v>0</v>
      </c>
      <c r="AO69" s="92">
        <v>0</v>
      </c>
      <c r="AP69" s="92">
        <v>0</v>
      </c>
      <c r="AQ69" s="92">
        <v>0</v>
      </c>
      <c r="AR69" s="92">
        <v>0</v>
      </c>
      <c r="AS69" s="92">
        <v>0</v>
      </c>
      <c r="AT69" s="92">
        <v>0</v>
      </c>
      <c r="AU69" s="92">
        <v>0</v>
      </c>
      <c r="AV69" s="92">
        <v>0</v>
      </c>
      <c r="AW69" s="92">
        <v>0</v>
      </c>
      <c r="AX69" s="93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</row>
    <row r="76" spans="1:73" x14ac:dyDescent="0.25">
      <c r="A76" t="s">
        <v>159</v>
      </c>
      <c r="C76">
        <f t="shared" ref="C76:Y76" si="0">SUMIF($A$6:$A$69,$A76,C$6:C$69)</f>
        <v>0</v>
      </c>
      <c r="D76">
        <f t="shared" si="0"/>
        <v>0</v>
      </c>
      <c r="E76">
        <f t="shared" si="0"/>
        <v>6.8</v>
      </c>
      <c r="F76">
        <f t="shared" si="0"/>
        <v>0</v>
      </c>
      <c r="G76">
        <f t="shared" si="0"/>
        <v>0</v>
      </c>
      <c r="H76">
        <f t="shared" si="0"/>
        <v>0</v>
      </c>
      <c r="I76">
        <f t="shared" si="0"/>
        <v>0</v>
      </c>
      <c r="J76">
        <f t="shared" si="0"/>
        <v>0</v>
      </c>
      <c r="K76">
        <f t="shared" si="0"/>
        <v>0</v>
      </c>
      <c r="L76">
        <f t="shared" si="0"/>
        <v>0</v>
      </c>
      <c r="M76">
        <f t="shared" si="0"/>
        <v>0</v>
      </c>
      <c r="N76">
        <f t="shared" si="0"/>
        <v>0</v>
      </c>
      <c r="O76">
        <f t="shared" si="0"/>
        <v>0</v>
      </c>
      <c r="P76">
        <f t="shared" si="0"/>
        <v>0</v>
      </c>
      <c r="Q76">
        <f t="shared" si="0"/>
        <v>0</v>
      </c>
      <c r="R76">
        <f t="shared" si="0"/>
        <v>0</v>
      </c>
      <c r="S76">
        <f t="shared" si="0"/>
        <v>0</v>
      </c>
      <c r="T76">
        <f t="shared" si="0"/>
        <v>0</v>
      </c>
      <c r="U76">
        <f t="shared" si="0"/>
        <v>0</v>
      </c>
      <c r="V76">
        <f t="shared" si="0"/>
        <v>0</v>
      </c>
      <c r="W76">
        <f t="shared" si="0"/>
        <v>0</v>
      </c>
      <c r="X76">
        <f t="shared" si="0"/>
        <v>0</v>
      </c>
      <c r="Y76">
        <f t="shared" si="0"/>
        <v>0</v>
      </c>
      <c r="AA76">
        <f t="shared" ref="AA76:AW76" si="1">SUMIF($A$6:$A$69,$A76,AA$6:AA$69)</f>
        <v>0</v>
      </c>
      <c r="AB76">
        <f t="shared" si="1"/>
        <v>0</v>
      </c>
      <c r="AC76">
        <f t="shared" si="1"/>
        <v>0</v>
      </c>
      <c r="AD76">
        <f t="shared" si="1"/>
        <v>0</v>
      </c>
      <c r="AE76">
        <f t="shared" si="1"/>
        <v>0</v>
      </c>
      <c r="AF76">
        <f t="shared" si="1"/>
        <v>0</v>
      </c>
      <c r="AG76">
        <f t="shared" si="1"/>
        <v>0</v>
      </c>
      <c r="AH76">
        <f t="shared" si="1"/>
        <v>0</v>
      </c>
      <c r="AI76">
        <f t="shared" si="1"/>
        <v>0</v>
      </c>
      <c r="AJ76">
        <f t="shared" si="1"/>
        <v>0</v>
      </c>
      <c r="AK76">
        <f t="shared" si="1"/>
        <v>0</v>
      </c>
      <c r="AL76">
        <f t="shared" si="1"/>
        <v>0</v>
      </c>
      <c r="AM76">
        <f t="shared" si="1"/>
        <v>0</v>
      </c>
      <c r="AN76">
        <f t="shared" si="1"/>
        <v>0</v>
      </c>
      <c r="AO76">
        <f t="shared" si="1"/>
        <v>0</v>
      </c>
      <c r="AP76">
        <f t="shared" si="1"/>
        <v>0</v>
      </c>
      <c r="AQ76">
        <f t="shared" si="1"/>
        <v>0</v>
      </c>
      <c r="AR76">
        <f t="shared" si="1"/>
        <v>0</v>
      </c>
      <c r="AS76">
        <f t="shared" si="1"/>
        <v>0</v>
      </c>
      <c r="AT76">
        <f t="shared" si="1"/>
        <v>0</v>
      </c>
      <c r="AU76">
        <f t="shared" si="1"/>
        <v>0</v>
      </c>
      <c r="AV76">
        <f t="shared" si="1"/>
        <v>0</v>
      </c>
      <c r="AW76">
        <f t="shared" si="1"/>
        <v>0</v>
      </c>
      <c r="AY76">
        <f t="shared" ref="AY76:BU76" si="2">SUMIF($A$6:$A$69,$A76,AY$6:AY$69)</f>
        <v>0</v>
      </c>
      <c r="AZ76">
        <f t="shared" si="2"/>
        <v>0</v>
      </c>
      <c r="BA76">
        <f t="shared" si="2"/>
        <v>0</v>
      </c>
      <c r="BB76">
        <f t="shared" si="2"/>
        <v>0</v>
      </c>
      <c r="BC76">
        <f t="shared" si="2"/>
        <v>0</v>
      </c>
      <c r="BD76">
        <f t="shared" si="2"/>
        <v>0</v>
      </c>
      <c r="BE76">
        <f t="shared" si="2"/>
        <v>0</v>
      </c>
      <c r="BF76">
        <f t="shared" si="2"/>
        <v>0</v>
      </c>
      <c r="BG76">
        <f t="shared" si="2"/>
        <v>0</v>
      </c>
      <c r="BH76">
        <f t="shared" si="2"/>
        <v>0</v>
      </c>
      <c r="BI76">
        <f t="shared" si="2"/>
        <v>0</v>
      </c>
      <c r="BJ76">
        <f t="shared" si="2"/>
        <v>0</v>
      </c>
      <c r="BK76">
        <f t="shared" si="2"/>
        <v>0</v>
      </c>
      <c r="BL76">
        <f t="shared" si="2"/>
        <v>0</v>
      </c>
      <c r="BM76">
        <f t="shared" si="2"/>
        <v>0</v>
      </c>
      <c r="BN76">
        <f t="shared" si="2"/>
        <v>0</v>
      </c>
      <c r="BO76">
        <f t="shared" si="2"/>
        <v>0</v>
      </c>
      <c r="BP76">
        <f t="shared" si="2"/>
        <v>0</v>
      </c>
      <c r="BQ76">
        <f t="shared" si="2"/>
        <v>0</v>
      </c>
      <c r="BR76">
        <f t="shared" si="2"/>
        <v>0</v>
      </c>
      <c r="BS76">
        <f t="shared" si="2"/>
        <v>0</v>
      </c>
      <c r="BT76">
        <f t="shared" si="2"/>
        <v>0</v>
      </c>
      <c r="BU76">
        <f t="shared" si="2"/>
        <v>0</v>
      </c>
    </row>
    <row r="77" spans="1:73" x14ac:dyDescent="0.25">
      <c r="A77" t="s">
        <v>154</v>
      </c>
      <c r="C77">
        <f>SUMIF($A$6:$A$69,$A77,C$6:C$69)</f>
        <v>0</v>
      </c>
      <c r="D77">
        <f t="shared" ref="D77:S89" si="3">SUMIF($A$6:$A$69,$A77,D$6:D$69)</f>
        <v>0</v>
      </c>
      <c r="E77">
        <f t="shared" si="3"/>
        <v>0</v>
      </c>
      <c r="F77">
        <f t="shared" si="3"/>
        <v>0</v>
      </c>
      <c r="G77">
        <f t="shared" si="3"/>
        <v>0</v>
      </c>
      <c r="H77">
        <f t="shared" si="3"/>
        <v>0</v>
      </c>
      <c r="I77">
        <f t="shared" si="3"/>
        <v>0</v>
      </c>
      <c r="J77">
        <f t="shared" si="3"/>
        <v>0</v>
      </c>
      <c r="K77">
        <f t="shared" si="3"/>
        <v>0</v>
      </c>
      <c r="L77">
        <f t="shared" si="3"/>
        <v>0</v>
      </c>
      <c r="M77">
        <f t="shared" si="3"/>
        <v>0</v>
      </c>
      <c r="N77">
        <f t="shared" si="3"/>
        <v>0</v>
      </c>
      <c r="O77">
        <f t="shared" si="3"/>
        <v>0</v>
      </c>
      <c r="P77">
        <f t="shared" si="3"/>
        <v>0</v>
      </c>
      <c r="Q77">
        <f t="shared" si="3"/>
        <v>0</v>
      </c>
      <c r="R77">
        <f t="shared" si="3"/>
        <v>0</v>
      </c>
      <c r="S77">
        <f t="shared" si="3"/>
        <v>0</v>
      </c>
      <c r="T77">
        <f t="shared" ref="T77:Y89" si="4">SUMIF($A$6:$A$69,$A77,T$6:T$69)</f>
        <v>0</v>
      </c>
      <c r="U77">
        <f t="shared" si="4"/>
        <v>0</v>
      </c>
      <c r="V77">
        <f t="shared" si="4"/>
        <v>0</v>
      </c>
      <c r="W77">
        <f t="shared" si="4"/>
        <v>0</v>
      </c>
      <c r="X77">
        <f t="shared" si="4"/>
        <v>0</v>
      </c>
      <c r="Y77">
        <f t="shared" si="4"/>
        <v>0</v>
      </c>
      <c r="AA77">
        <f t="shared" ref="AA77:AI77" si="5">SUMIF($A$6:$A$69,$A77,AA$6:AA$69)</f>
        <v>0</v>
      </c>
      <c r="AB77">
        <f t="shared" si="5"/>
        <v>0</v>
      </c>
      <c r="AC77">
        <f t="shared" si="5"/>
        <v>0</v>
      </c>
      <c r="AD77">
        <f t="shared" si="5"/>
        <v>0</v>
      </c>
      <c r="AE77">
        <f t="shared" si="5"/>
        <v>0</v>
      </c>
      <c r="AF77">
        <f t="shared" si="5"/>
        <v>0</v>
      </c>
      <c r="AG77">
        <f t="shared" si="5"/>
        <v>0</v>
      </c>
      <c r="AH77">
        <f t="shared" si="5"/>
        <v>0</v>
      </c>
      <c r="AI77">
        <f t="shared" si="5"/>
        <v>0</v>
      </c>
      <c r="AJ77">
        <f t="shared" ref="AA77:AW88" si="6">SUMIF($A$6:$A$69,$A77,AJ$6:AJ$69)</f>
        <v>0</v>
      </c>
      <c r="AK77">
        <f t="shared" si="6"/>
        <v>0</v>
      </c>
      <c r="AL77">
        <f t="shared" si="6"/>
        <v>90</v>
      </c>
      <c r="AM77">
        <f t="shared" si="6"/>
        <v>0</v>
      </c>
      <c r="AN77">
        <f t="shared" si="6"/>
        <v>0</v>
      </c>
      <c r="AO77">
        <f t="shared" si="6"/>
        <v>0</v>
      </c>
      <c r="AP77">
        <f t="shared" si="6"/>
        <v>0</v>
      </c>
      <c r="AQ77">
        <f t="shared" si="6"/>
        <v>0</v>
      </c>
      <c r="AR77">
        <f t="shared" si="6"/>
        <v>0</v>
      </c>
      <c r="AS77">
        <f t="shared" si="6"/>
        <v>46</v>
      </c>
      <c r="AT77">
        <f t="shared" si="6"/>
        <v>102</v>
      </c>
      <c r="AU77">
        <f t="shared" si="6"/>
        <v>0</v>
      </c>
      <c r="AV77">
        <f t="shared" si="6"/>
        <v>0</v>
      </c>
      <c r="AW77">
        <f t="shared" si="6"/>
        <v>65</v>
      </c>
      <c r="AY77">
        <f t="shared" ref="AY77:BN89" si="7">SUMIF($A$6:$A$69,$A77,AY$6:AY$69)</f>
        <v>0</v>
      </c>
      <c r="AZ77">
        <f t="shared" si="7"/>
        <v>0</v>
      </c>
      <c r="BA77">
        <f t="shared" si="7"/>
        <v>0</v>
      </c>
      <c r="BB77">
        <f t="shared" si="7"/>
        <v>0</v>
      </c>
      <c r="BC77">
        <f t="shared" si="7"/>
        <v>0</v>
      </c>
      <c r="BD77">
        <f t="shared" si="7"/>
        <v>0</v>
      </c>
      <c r="BE77">
        <f t="shared" si="7"/>
        <v>0</v>
      </c>
      <c r="BF77">
        <f t="shared" si="7"/>
        <v>0</v>
      </c>
      <c r="BG77">
        <f t="shared" si="7"/>
        <v>0</v>
      </c>
      <c r="BH77">
        <f t="shared" si="7"/>
        <v>0</v>
      </c>
      <c r="BI77">
        <f t="shared" si="7"/>
        <v>0</v>
      </c>
      <c r="BJ77">
        <f t="shared" si="7"/>
        <v>0</v>
      </c>
      <c r="BK77">
        <f t="shared" si="7"/>
        <v>0</v>
      </c>
      <c r="BL77">
        <f t="shared" si="7"/>
        <v>0</v>
      </c>
      <c r="BM77">
        <f t="shared" si="7"/>
        <v>0</v>
      </c>
      <c r="BN77">
        <f t="shared" si="7"/>
        <v>0</v>
      </c>
      <c r="BO77">
        <f t="shared" ref="BO77:BU89" si="8">SUMIF($A$6:$A$69,$A77,BO$6:BO$69)</f>
        <v>0</v>
      </c>
      <c r="BP77">
        <f t="shared" si="8"/>
        <v>0</v>
      </c>
      <c r="BQ77">
        <f t="shared" si="8"/>
        <v>0</v>
      </c>
      <c r="BR77">
        <f t="shared" si="8"/>
        <v>0</v>
      </c>
      <c r="BS77">
        <f t="shared" si="8"/>
        <v>0</v>
      </c>
      <c r="BT77">
        <f t="shared" si="8"/>
        <v>0</v>
      </c>
      <c r="BU77">
        <f t="shared" si="8"/>
        <v>0</v>
      </c>
    </row>
    <row r="78" spans="1:73" x14ac:dyDescent="0.25">
      <c r="A78" t="s">
        <v>164</v>
      </c>
      <c r="C78">
        <f>SUMIF($A$6:$A$69,$A78,C$6:C$69)</f>
        <v>0</v>
      </c>
      <c r="D78">
        <f t="shared" ref="D78:M79" si="9">SUMIF($A$6:$A$69,$A78,D$6:D$69)</f>
        <v>0</v>
      </c>
      <c r="E78">
        <f t="shared" si="9"/>
        <v>0</v>
      </c>
      <c r="F78">
        <f t="shared" si="9"/>
        <v>0</v>
      </c>
      <c r="G78">
        <f t="shared" si="9"/>
        <v>0</v>
      </c>
      <c r="H78">
        <f t="shared" si="9"/>
        <v>0</v>
      </c>
      <c r="I78">
        <f t="shared" si="9"/>
        <v>0</v>
      </c>
      <c r="J78">
        <f t="shared" si="9"/>
        <v>0</v>
      </c>
      <c r="K78">
        <f t="shared" si="9"/>
        <v>0</v>
      </c>
      <c r="L78">
        <f t="shared" si="9"/>
        <v>0</v>
      </c>
      <c r="M78">
        <f t="shared" si="9"/>
        <v>0</v>
      </c>
      <c r="N78">
        <f t="shared" si="3"/>
        <v>0</v>
      </c>
      <c r="O78">
        <f t="shared" si="3"/>
        <v>0</v>
      </c>
      <c r="P78">
        <f t="shared" si="3"/>
        <v>0</v>
      </c>
      <c r="Q78">
        <f t="shared" si="3"/>
        <v>0</v>
      </c>
      <c r="R78">
        <f t="shared" si="3"/>
        <v>0</v>
      </c>
      <c r="S78">
        <f t="shared" si="3"/>
        <v>0</v>
      </c>
      <c r="T78">
        <f t="shared" si="4"/>
        <v>0</v>
      </c>
      <c r="U78">
        <f t="shared" si="4"/>
        <v>0</v>
      </c>
      <c r="V78">
        <f t="shared" si="4"/>
        <v>0</v>
      </c>
      <c r="W78">
        <f t="shared" si="4"/>
        <v>0</v>
      </c>
      <c r="X78">
        <f t="shared" si="4"/>
        <v>0</v>
      </c>
      <c r="Y78">
        <f t="shared" si="4"/>
        <v>0</v>
      </c>
      <c r="AA78">
        <f t="shared" ref="AA78:AJ78" si="10">SUMIF($A$6:$A$69,$A78,AA$6:AA$69)</f>
        <v>0</v>
      </c>
      <c r="AB78">
        <f t="shared" si="10"/>
        <v>0</v>
      </c>
      <c r="AC78">
        <f t="shared" si="10"/>
        <v>0</v>
      </c>
      <c r="AD78">
        <f t="shared" si="10"/>
        <v>0</v>
      </c>
      <c r="AE78">
        <f t="shared" si="10"/>
        <v>0</v>
      </c>
      <c r="AF78">
        <f t="shared" si="10"/>
        <v>0</v>
      </c>
      <c r="AG78">
        <f t="shared" si="10"/>
        <v>0</v>
      </c>
      <c r="AH78">
        <f t="shared" si="10"/>
        <v>0</v>
      </c>
      <c r="AI78">
        <f t="shared" si="10"/>
        <v>0</v>
      </c>
      <c r="AJ78">
        <f t="shared" si="10"/>
        <v>0</v>
      </c>
      <c r="AK78">
        <f t="shared" si="6"/>
        <v>0</v>
      </c>
      <c r="AL78">
        <f t="shared" si="6"/>
        <v>0</v>
      </c>
      <c r="AM78">
        <f t="shared" si="6"/>
        <v>0</v>
      </c>
      <c r="AN78">
        <f t="shared" si="6"/>
        <v>0</v>
      </c>
      <c r="AO78">
        <f t="shared" si="6"/>
        <v>0</v>
      </c>
      <c r="AP78">
        <f t="shared" si="6"/>
        <v>0</v>
      </c>
      <c r="AQ78">
        <f t="shared" si="6"/>
        <v>0</v>
      </c>
      <c r="AR78">
        <f t="shared" si="6"/>
        <v>0</v>
      </c>
      <c r="AS78">
        <f t="shared" si="6"/>
        <v>0</v>
      </c>
      <c r="AT78">
        <f t="shared" si="6"/>
        <v>0</v>
      </c>
      <c r="AU78">
        <f t="shared" si="6"/>
        <v>0</v>
      </c>
      <c r="AV78">
        <f t="shared" si="6"/>
        <v>0</v>
      </c>
      <c r="AW78">
        <f t="shared" si="6"/>
        <v>0</v>
      </c>
      <c r="AY78">
        <f t="shared" ref="AY78:BH79" si="11">SUMIF($A$6:$A$69,$A78,AY$6:AY$69)</f>
        <v>0</v>
      </c>
      <c r="AZ78">
        <f t="shared" si="11"/>
        <v>0</v>
      </c>
      <c r="BA78">
        <f t="shared" si="11"/>
        <v>0</v>
      </c>
      <c r="BB78">
        <f t="shared" si="11"/>
        <v>0</v>
      </c>
      <c r="BC78">
        <f t="shared" si="11"/>
        <v>0</v>
      </c>
      <c r="BD78">
        <f t="shared" si="11"/>
        <v>0</v>
      </c>
      <c r="BE78">
        <f t="shared" si="11"/>
        <v>0</v>
      </c>
      <c r="BF78">
        <f t="shared" si="11"/>
        <v>0</v>
      </c>
      <c r="BG78">
        <f t="shared" si="11"/>
        <v>0</v>
      </c>
      <c r="BH78">
        <f t="shared" si="11"/>
        <v>0</v>
      </c>
      <c r="BI78">
        <f t="shared" si="7"/>
        <v>0</v>
      </c>
      <c r="BJ78">
        <f t="shared" si="7"/>
        <v>0</v>
      </c>
      <c r="BK78">
        <f t="shared" si="7"/>
        <v>0</v>
      </c>
      <c r="BL78">
        <f t="shared" si="7"/>
        <v>0</v>
      </c>
      <c r="BM78">
        <f t="shared" si="7"/>
        <v>0</v>
      </c>
      <c r="BN78">
        <f t="shared" si="7"/>
        <v>0</v>
      </c>
      <c r="BO78">
        <f t="shared" si="8"/>
        <v>0</v>
      </c>
      <c r="BP78">
        <f t="shared" si="8"/>
        <v>0</v>
      </c>
      <c r="BQ78">
        <f t="shared" si="8"/>
        <v>0</v>
      </c>
      <c r="BR78">
        <f t="shared" si="8"/>
        <v>0</v>
      </c>
      <c r="BS78">
        <f t="shared" si="8"/>
        <v>0</v>
      </c>
      <c r="BT78">
        <f t="shared" si="8"/>
        <v>0</v>
      </c>
      <c r="BU78">
        <f t="shared" si="8"/>
        <v>0</v>
      </c>
    </row>
    <row r="79" spans="1:73" x14ac:dyDescent="0.25">
      <c r="A79" t="s">
        <v>155</v>
      </c>
      <c r="C79">
        <f>SUMIF($A$6:$A$69,$A79,C$6:C$69)</f>
        <v>0</v>
      </c>
      <c r="D79">
        <f t="shared" si="9"/>
        <v>0</v>
      </c>
      <c r="E79">
        <f t="shared" si="9"/>
        <v>0</v>
      </c>
      <c r="F79">
        <f t="shared" si="9"/>
        <v>0</v>
      </c>
      <c r="G79">
        <f t="shared" si="9"/>
        <v>0</v>
      </c>
      <c r="H79">
        <f t="shared" si="9"/>
        <v>0</v>
      </c>
      <c r="I79">
        <f t="shared" si="9"/>
        <v>0</v>
      </c>
      <c r="J79">
        <f t="shared" si="9"/>
        <v>0</v>
      </c>
      <c r="K79">
        <f t="shared" si="9"/>
        <v>0</v>
      </c>
      <c r="L79">
        <f t="shared" si="9"/>
        <v>0</v>
      </c>
      <c r="M79">
        <f t="shared" si="9"/>
        <v>0</v>
      </c>
      <c r="N79">
        <f t="shared" si="3"/>
        <v>0</v>
      </c>
      <c r="O79">
        <f t="shared" si="3"/>
        <v>0</v>
      </c>
      <c r="P79">
        <f t="shared" si="3"/>
        <v>0</v>
      </c>
      <c r="Q79">
        <f t="shared" si="3"/>
        <v>0</v>
      </c>
      <c r="R79">
        <f t="shared" si="3"/>
        <v>0</v>
      </c>
      <c r="S79">
        <f t="shared" si="3"/>
        <v>0</v>
      </c>
      <c r="T79">
        <f t="shared" si="4"/>
        <v>0</v>
      </c>
      <c r="U79">
        <f t="shared" si="4"/>
        <v>0</v>
      </c>
      <c r="V79">
        <f t="shared" si="4"/>
        <v>0</v>
      </c>
      <c r="W79">
        <f t="shared" si="4"/>
        <v>0</v>
      </c>
      <c r="X79">
        <f t="shared" si="4"/>
        <v>0</v>
      </c>
      <c r="Y79">
        <f t="shared" si="4"/>
        <v>0</v>
      </c>
      <c r="AA79">
        <f t="shared" si="6"/>
        <v>0</v>
      </c>
      <c r="AB79">
        <f t="shared" si="6"/>
        <v>0</v>
      </c>
      <c r="AC79">
        <f t="shared" si="6"/>
        <v>0</v>
      </c>
      <c r="AD79">
        <f t="shared" si="6"/>
        <v>0</v>
      </c>
      <c r="AE79">
        <f t="shared" si="6"/>
        <v>0</v>
      </c>
      <c r="AF79">
        <f t="shared" si="6"/>
        <v>0</v>
      </c>
      <c r="AG79">
        <f t="shared" si="6"/>
        <v>0</v>
      </c>
      <c r="AH79">
        <f t="shared" si="6"/>
        <v>0</v>
      </c>
      <c r="AI79">
        <f t="shared" si="6"/>
        <v>0</v>
      </c>
      <c r="AJ79">
        <f t="shared" si="6"/>
        <v>0</v>
      </c>
      <c r="AK79">
        <f t="shared" si="6"/>
        <v>0</v>
      </c>
      <c r="AL79">
        <f t="shared" si="6"/>
        <v>0</v>
      </c>
      <c r="AM79">
        <f t="shared" si="6"/>
        <v>0</v>
      </c>
      <c r="AN79">
        <f t="shared" si="6"/>
        <v>0</v>
      </c>
      <c r="AO79">
        <f t="shared" si="6"/>
        <v>0</v>
      </c>
      <c r="AP79">
        <f t="shared" si="6"/>
        <v>0</v>
      </c>
      <c r="AQ79">
        <f t="shared" si="6"/>
        <v>0</v>
      </c>
      <c r="AR79">
        <f t="shared" si="6"/>
        <v>0</v>
      </c>
      <c r="AS79">
        <f t="shared" si="6"/>
        <v>0</v>
      </c>
      <c r="AT79">
        <f t="shared" si="6"/>
        <v>0</v>
      </c>
      <c r="AU79">
        <f t="shared" si="6"/>
        <v>0</v>
      </c>
      <c r="AV79">
        <f t="shared" si="6"/>
        <v>0</v>
      </c>
      <c r="AW79">
        <f t="shared" si="6"/>
        <v>0</v>
      </c>
      <c r="AY79">
        <f t="shared" si="11"/>
        <v>0</v>
      </c>
      <c r="AZ79">
        <f t="shared" si="11"/>
        <v>0</v>
      </c>
      <c r="BA79">
        <f t="shared" si="11"/>
        <v>0</v>
      </c>
      <c r="BB79">
        <f t="shared" si="11"/>
        <v>0</v>
      </c>
      <c r="BC79">
        <f t="shared" si="11"/>
        <v>0</v>
      </c>
      <c r="BD79">
        <f t="shared" si="11"/>
        <v>0</v>
      </c>
      <c r="BE79">
        <f t="shared" si="11"/>
        <v>0</v>
      </c>
      <c r="BF79">
        <f t="shared" si="11"/>
        <v>0</v>
      </c>
      <c r="BG79">
        <f t="shared" si="11"/>
        <v>0</v>
      </c>
      <c r="BH79">
        <f t="shared" si="11"/>
        <v>0</v>
      </c>
      <c r="BI79">
        <f t="shared" si="7"/>
        <v>0</v>
      </c>
      <c r="BJ79">
        <f t="shared" si="7"/>
        <v>0</v>
      </c>
      <c r="BK79">
        <f t="shared" si="7"/>
        <v>0</v>
      </c>
      <c r="BL79">
        <f t="shared" si="7"/>
        <v>0</v>
      </c>
      <c r="BM79">
        <f t="shared" si="7"/>
        <v>0</v>
      </c>
      <c r="BN79">
        <f t="shared" si="7"/>
        <v>0</v>
      </c>
      <c r="BO79">
        <f t="shared" si="8"/>
        <v>0</v>
      </c>
      <c r="BP79">
        <f t="shared" si="8"/>
        <v>0</v>
      </c>
      <c r="BQ79">
        <f t="shared" si="8"/>
        <v>0</v>
      </c>
      <c r="BR79">
        <f t="shared" si="8"/>
        <v>0</v>
      </c>
      <c r="BS79">
        <f t="shared" si="8"/>
        <v>0</v>
      </c>
      <c r="BT79">
        <f t="shared" si="8"/>
        <v>0</v>
      </c>
      <c r="BU79">
        <f t="shared" si="8"/>
        <v>0</v>
      </c>
    </row>
    <row r="80" spans="1:73" x14ac:dyDescent="0.25">
      <c r="A80" t="s">
        <v>157</v>
      </c>
      <c r="C80">
        <f t="shared" ref="C80:C88" si="12">SUMIF($A$6:$A$69,$A80,C$6:C$69)</f>
        <v>0</v>
      </c>
      <c r="D80">
        <f t="shared" si="3"/>
        <v>0</v>
      </c>
      <c r="E80">
        <f t="shared" si="3"/>
        <v>0</v>
      </c>
      <c r="F80">
        <f t="shared" si="3"/>
        <v>0</v>
      </c>
      <c r="G80">
        <f t="shared" si="3"/>
        <v>0</v>
      </c>
      <c r="H80">
        <f t="shared" si="3"/>
        <v>0</v>
      </c>
      <c r="I80">
        <f t="shared" si="3"/>
        <v>0</v>
      </c>
      <c r="J80">
        <f t="shared" si="3"/>
        <v>200</v>
      </c>
      <c r="K80">
        <f t="shared" si="3"/>
        <v>0</v>
      </c>
      <c r="L80">
        <f t="shared" si="3"/>
        <v>0</v>
      </c>
      <c r="M80">
        <f t="shared" si="3"/>
        <v>0</v>
      </c>
      <c r="N80">
        <f t="shared" si="3"/>
        <v>0</v>
      </c>
      <c r="O80">
        <f t="shared" si="3"/>
        <v>0</v>
      </c>
      <c r="P80">
        <f t="shared" si="3"/>
        <v>0</v>
      </c>
      <c r="Q80">
        <f t="shared" si="3"/>
        <v>0</v>
      </c>
      <c r="R80">
        <f t="shared" si="3"/>
        <v>0</v>
      </c>
      <c r="S80">
        <f t="shared" si="3"/>
        <v>0</v>
      </c>
      <c r="T80">
        <f t="shared" si="4"/>
        <v>0</v>
      </c>
      <c r="U80">
        <f t="shared" si="4"/>
        <v>140</v>
      </c>
      <c r="V80">
        <f t="shared" si="4"/>
        <v>105</v>
      </c>
      <c r="W80">
        <f t="shared" si="4"/>
        <v>0</v>
      </c>
      <c r="X80">
        <f t="shared" si="4"/>
        <v>100</v>
      </c>
      <c r="Y80">
        <f t="shared" si="4"/>
        <v>199.7</v>
      </c>
      <c r="AA80">
        <f t="shared" si="6"/>
        <v>0</v>
      </c>
      <c r="AB80">
        <f t="shared" si="6"/>
        <v>0</v>
      </c>
      <c r="AC80">
        <f t="shared" si="6"/>
        <v>0</v>
      </c>
      <c r="AD80">
        <f t="shared" si="6"/>
        <v>0</v>
      </c>
      <c r="AE80">
        <f t="shared" si="6"/>
        <v>0</v>
      </c>
      <c r="AF80">
        <f t="shared" si="6"/>
        <v>0</v>
      </c>
      <c r="AG80">
        <f t="shared" si="6"/>
        <v>0</v>
      </c>
      <c r="AH80">
        <f t="shared" si="6"/>
        <v>0</v>
      </c>
      <c r="AI80">
        <f t="shared" si="6"/>
        <v>0</v>
      </c>
      <c r="AJ80">
        <f t="shared" si="6"/>
        <v>0</v>
      </c>
      <c r="AK80">
        <f t="shared" si="6"/>
        <v>0</v>
      </c>
      <c r="AL80">
        <f t="shared" si="6"/>
        <v>0</v>
      </c>
      <c r="AM80">
        <f t="shared" si="6"/>
        <v>0</v>
      </c>
      <c r="AN80">
        <f t="shared" si="6"/>
        <v>0</v>
      </c>
      <c r="AO80">
        <f t="shared" si="6"/>
        <v>0</v>
      </c>
      <c r="AP80">
        <f t="shared" si="6"/>
        <v>0</v>
      </c>
      <c r="AQ80">
        <f t="shared" si="6"/>
        <v>0</v>
      </c>
      <c r="AR80">
        <f t="shared" si="6"/>
        <v>0</v>
      </c>
      <c r="AS80">
        <f t="shared" si="6"/>
        <v>0</v>
      </c>
      <c r="AT80">
        <f t="shared" si="6"/>
        <v>0</v>
      </c>
      <c r="AU80">
        <f t="shared" si="6"/>
        <v>0</v>
      </c>
      <c r="AV80">
        <f t="shared" si="6"/>
        <v>0</v>
      </c>
      <c r="AW80">
        <f t="shared" si="6"/>
        <v>0</v>
      </c>
      <c r="AY80">
        <f t="shared" si="7"/>
        <v>0</v>
      </c>
      <c r="AZ80">
        <f t="shared" si="7"/>
        <v>0</v>
      </c>
      <c r="BA80">
        <f t="shared" si="7"/>
        <v>0</v>
      </c>
      <c r="BB80">
        <f t="shared" si="7"/>
        <v>0</v>
      </c>
      <c r="BC80">
        <f t="shared" si="7"/>
        <v>0</v>
      </c>
      <c r="BD80">
        <f t="shared" si="7"/>
        <v>0</v>
      </c>
      <c r="BE80">
        <f t="shared" si="7"/>
        <v>0</v>
      </c>
      <c r="BF80">
        <f t="shared" si="7"/>
        <v>0</v>
      </c>
      <c r="BG80">
        <f t="shared" si="7"/>
        <v>0</v>
      </c>
      <c r="BH80">
        <f t="shared" si="7"/>
        <v>0</v>
      </c>
      <c r="BI80">
        <f t="shared" si="7"/>
        <v>0</v>
      </c>
      <c r="BJ80">
        <f t="shared" si="7"/>
        <v>0</v>
      </c>
      <c r="BK80">
        <f t="shared" si="7"/>
        <v>0</v>
      </c>
      <c r="BL80">
        <f t="shared" si="7"/>
        <v>0</v>
      </c>
      <c r="BM80">
        <f t="shared" si="7"/>
        <v>0</v>
      </c>
      <c r="BN80">
        <f t="shared" si="7"/>
        <v>0</v>
      </c>
      <c r="BO80">
        <f t="shared" si="8"/>
        <v>0</v>
      </c>
      <c r="BP80">
        <f t="shared" si="8"/>
        <v>0</v>
      </c>
      <c r="BQ80">
        <f t="shared" si="8"/>
        <v>0</v>
      </c>
      <c r="BR80">
        <f t="shared" si="8"/>
        <v>0</v>
      </c>
      <c r="BS80">
        <f t="shared" si="8"/>
        <v>0</v>
      </c>
      <c r="BT80">
        <f t="shared" si="8"/>
        <v>0</v>
      </c>
      <c r="BU80">
        <f t="shared" si="8"/>
        <v>0</v>
      </c>
    </row>
    <row r="81" spans="1:73" x14ac:dyDescent="0.25">
      <c r="A81" t="s">
        <v>156</v>
      </c>
      <c r="C81">
        <f t="shared" si="12"/>
        <v>0</v>
      </c>
      <c r="D81">
        <f t="shared" si="3"/>
        <v>0</v>
      </c>
      <c r="E81">
        <f t="shared" si="3"/>
        <v>0</v>
      </c>
      <c r="F81">
        <f t="shared" si="3"/>
        <v>0</v>
      </c>
      <c r="G81">
        <f t="shared" si="3"/>
        <v>0</v>
      </c>
      <c r="H81">
        <f t="shared" si="3"/>
        <v>0</v>
      </c>
      <c r="I81">
        <f t="shared" si="3"/>
        <v>0</v>
      </c>
      <c r="J81">
        <f t="shared" si="3"/>
        <v>0</v>
      </c>
      <c r="K81">
        <f t="shared" si="3"/>
        <v>0</v>
      </c>
      <c r="L81">
        <f t="shared" si="3"/>
        <v>200</v>
      </c>
      <c r="M81">
        <f t="shared" si="3"/>
        <v>0</v>
      </c>
      <c r="N81">
        <f t="shared" si="3"/>
        <v>0</v>
      </c>
      <c r="O81">
        <f t="shared" si="3"/>
        <v>0</v>
      </c>
      <c r="P81">
        <f t="shared" si="3"/>
        <v>0</v>
      </c>
      <c r="Q81">
        <f t="shared" si="3"/>
        <v>0</v>
      </c>
      <c r="R81">
        <f t="shared" si="3"/>
        <v>0</v>
      </c>
      <c r="S81">
        <f t="shared" si="3"/>
        <v>0</v>
      </c>
      <c r="T81">
        <f t="shared" si="4"/>
        <v>0</v>
      </c>
      <c r="U81">
        <f t="shared" si="4"/>
        <v>0</v>
      </c>
      <c r="V81">
        <f t="shared" si="4"/>
        <v>0</v>
      </c>
      <c r="W81">
        <f t="shared" si="4"/>
        <v>0</v>
      </c>
      <c r="X81">
        <f t="shared" si="4"/>
        <v>0</v>
      </c>
      <c r="Y81">
        <f t="shared" si="4"/>
        <v>0</v>
      </c>
      <c r="AA81">
        <f t="shared" si="6"/>
        <v>0</v>
      </c>
      <c r="AB81">
        <f t="shared" si="6"/>
        <v>0</v>
      </c>
      <c r="AC81">
        <f t="shared" si="6"/>
        <v>0</v>
      </c>
      <c r="AD81">
        <f t="shared" si="6"/>
        <v>0</v>
      </c>
      <c r="AE81">
        <f t="shared" si="6"/>
        <v>0</v>
      </c>
      <c r="AF81">
        <f t="shared" si="6"/>
        <v>0</v>
      </c>
      <c r="AG81">
        <f t="shared" si="6"/>
        <v>0</v>
      </c>
      <c r="AH81">
        <f t="shared" si="6"/>
        <v>0</v>
      </c>
      <c r="AI81">
        <f t="shared" si="6"/>
        <v>0</v>
      </c>
      <c r="AJ81">
        <f t="shared" si="6"/>
        <v>0</v>
      </c>
      <c r="AK81">
        <f t="shared" si="6"/>
        <v>0</v>
      </c>
      <c r="AL81">
        <f t="shared" si="6"/>
        <v>0</v>
      </c>
      <c r="AM81">
        <f t="shared" si="6"/>
        <v>0</v>
      </c>
      <c r="AN81">
        <f t="shared" si="6"/>
        <v>0</v>
      </c>
      <c r="AO81">
        <f t="shared" si="6"/>
        <v>0</v>
      </c>
      <c r="AP81">
        <f t="shared" si="6"/>
        <v>0</v>
      </c>
      <c r="AQ81">
        <f t="shared" si="6"/>
        <v>0</v>
      </c>
      <c r="AR81">
        <f t="shared" si="6"/>
        <v>0</v>
      </c>
      <c r="AS81">
        <f t="shared" si="6"/>
        <v>0</v>
      </c>
      <c r="AT81">
        <f t="shared" si="6"/>
        <v>0</v>
      </c>
      <c r="AU81">
        <f t="shared" si="6"/>
        <v>0</v>
      </c>
      <c r="AV81">
        <f t="shared" si="6"/>
        <v>0</v>
      </c>
      <c r="AW81">
        <f t="shared" si="6"/>
        <v>0</v>
      </c>
      <c r="AY81">
        <f t="shared" si="7"/>
        <v>0</v>
      </c>
      <c r="AZ81">
        <f t="shared" si="7"/>
        <v>0</v>
      </c>
      <c r="BA81">
        <f t="shared" si="7"/>
        <v>0</v>
      </c>
      <c r="BB81">
        <f t="shared" si="7"/>
        <v>0</v>
      </c>
      <c r="BC81">
        <f t="shared" si="7"/>
        <v>0</v>
      </c>
      <c r="BD81">
        <f t="shared" si="7"/>
        <v>0</v>
      </c>
      <c r="BE81">
        <f t="shared" si="7"/>
        <v>0</v>
      </c>
      <c r="BF81">
        <f t="shared" si="7"/>
        <v>0</v>
      </c>
      <c r="BG81">
        <f t="shared" si="7"/>
        <v>0</v>
      </c>
      <c r="BH81">
        <f t="shared" si="7"/>
        <v>0</v>
      </c>
      <c r="BI81">
        <f t="shared" si="7"/>
        <v>0</v>
      </c>
      <c r="BJ81">
        <f t="shared" si="7"/>
        <v>0</v>
      </c>
      <c r="BK81">
        <f t="shared" si="7"/>
        <v>0</v>
      </c>
      <c r="BL81">
        <f t="shared" si="7"/>
        <v>0</v>
      </c>
      <c r="BM81">
        <f t="shared" si="7"/>
        <v>0</v>
      </c>
      <c r="BN81">
        <f t="shared" si="7"/>
        <v>0</v>
      </c>
      <c r="BO81">
        <f t="shared" si="8"/>
        <v>0</v>
      </c>
      <c r="BP81">
        <f t="shared" si="8"/>
        <v>0</v>
      </c>
      <c r="BQ81">
        <f t="shared" si="8"/>
        <v>0</v>
      </c>
      <c r="BR81">
        <f t="shared" si="8"/>
        <v>0</v>
      </c>
      <c r="BS81">
        <f t="shared" si="8"/>
        <v>0</v>
      </c>
      <c r="BT81">
        <f t="shared" si="8"/>
        <v>0</v>
      </c>
      <c r="BU81">
        <f t="shared" si="8"/>
        <v>0</v>
      </c>
    </row>
    <row r="82" spans="1:73" x14ac:dyDescent="0.25">
      <c r="A82" t="s">
        <v>158</v>
      </c>
      <c r="C82">
        <f t="shared" si="12"/>
        <v>0</v>
      </c>
      <c r="D82">
        <f t="shared" si="3"/>
        <v>0</v>
      </c>
      <c r="E82">
        <f t="shared" si="3"/>
        <v>0</v>
      </c>
      <c r="F82">
        <f t="shared" si="3"/>
        <v>0</v>
      </c>
      <c r="G82">
        <f t="shared" si="3"/>
        <v>0</v>
      </c>
      <c r="H82">
        <f t="shared" si="3"/>
        <v>0</v>
      </c>
      <c r="I82">
        <f t="shared" si="3"/>
        <v>0</v>
      </c>
      <c r="J82">
        <f t="shared" si="3"/>
        <v>0</v>
      </c>
      <c r="K82">
        <f t="shared" si="3"/>
        <v>0</v>
      </c>
      <c r="L82">
        <f t="shared" si="3"/>
        <v>0</v>
      </c>
      <c r="M82">
        <f t="shared" si="3"/>
        <v>0</v>
      </c>
      <c r="N82">
        <f t="shared" si="3"/>
        <v>0</v>
      </c>
      <c r="O82">
        <f t="shared" si="3"/>
        <v>0</v>
      </c>
      <c r="P82">
        <f t="shared" si="3"/>
        <v>0</v>
      </c>
      <c r="Q82">
        <f t="shared" si="3"/>
        <v>0</v>
      </c>
      <c r="R82">
        <f t="shared" si="3"/>
        <v>0</v>
      </c>
      <c r="S82">
        <f t="shared" si="3"/>
        <v>0</v>
      </c>
      <c r="T82">
        <f t="shared" si="4"/>
        <v>0</v>
      </c>
      <c r="U82">
        <f t="shared" si="4"/>
        <v>0</v>
      </c>
      <c r="V82">
        <f t="shared" si="4"/>
        <v>0</v>
      </c>
      <c r="W82">
        <f t="shared" si="4"/>
        <v>0</v>
      </c>
      <c r="X82">
        <f t="shared" si="4"/>
        <v>0</v>
      </c>
      <c r="Y82">
        <f t="shared" si="4"/>
        <v>0</v>
      </c>
      <c r="AA82">
        <f t="shared" si="6"/>
        <v>0</v>
      </c>
      <c r="AB82">
        <f t="shared" si="6"/>
        <v>0</v>
      </c>
      <c r="AC82">
        <f t="shared" si="6"/>
        <v>0</v>
      </c>
      <c r="AD82">
        <f t="shared" si="6"/>
        <v>0</v>
      </c>
      <c r="AE82">
        <f t="shared" si="6"/>
        <v>0</v>
      </c>
      <c r="AF82">
        <f t="shared" si="6"/>
        <v>0</v>
      </c>
      <c r="AG82">
        <f t="shared" si="6"/>
        <v>0</v>
      </c>
      <c r="AH82">
        <f t="shared" si="6"/>
        <v>0</v>
      </c>
      <c r="AI82">
        <f t="shared" si="6"/>
        <v>0</v>
      </c>
      <c r="AJ82">
        <f t="shared" si="6"/>
        <v>0</v>
      </c>
      <c r="AK82">
        <f t="shared" si="6"/>
        <v>0</v>
      </c>
      <c r="AL82">
        <f t="shared" si="6"/>
        <v>0</v>
      </c>
      <c r="AM82">
        <f t="shared" si="6"/>
        <v>0</v>
      </c>
      <c r="AN82">
        <f t="shared" si="6"/>
        <v>0</v>
      </c>
      <c r="AO82">
        <f t="shared" si="6"/>
        <v>0</v>
      </c>
      <c r="AP82">
        <f t="shared" si="6"/>
        <v>0</v>
      </c>
      <c r="AQ82">
        <f t="shared" si="6"/>
        <v>0</v>
      </c>
      <c r="AR82">
        <f t="shared" si="6"/>
        <v>0</v>
      </c>
      <c r="AS82">
        <f t="shared" si="6"/>
        <v>0</v>
      </c>
      <c r="AT82">
        <f t="shared" si="6"/>
        <v>0</v>
      </c>
      <c r="AU82">
        <f t="shared" si="6"/>
        <v>0</v>
      </c>
      <c r="AV82">
        <f t="shared" si="6"/>
        <v>0</v>
      </c>
      <c r="AW82">
        <f t="shared" si="6"/>
        <v>0</v>
      </c>
      <c r="AY82">
        <f t="shared" si="7"/>
        <v>0</v>
      </c>
      <c r="AZ82">
        <f t="shared" si="7"/>
        <v>0</v>
      </c>
      <c r="BA82">
        <f t="shared" si="7"/>
        <v>0</v>
      </c>
      <c r="BB82">
        <f t="shared" si="7"/>
        <v>0</v>
      </c>
      <c r="BC82">
        <f t="shared" si="7"/>
        <v>0</v>
      </c>
      <c r="BD82">
        <f t="shared" si="7"/>
        <v>0</v>
      </c>
      <c r="BE82">
        <f t="shared" si="7"/>
        <v>0</v>
      </c>
      <c r="BF82">
        <f t="shared" si="7"/>
        <v>0</v>
      </c>
      <c r="BG82">
        <f t="shared" si="7"/>
        <v>0</v>
      </c>
      <c r="BH82">
        <f t="shared" si="7"/>
        <v>0</v>
      </c>
      <c r="BI82">
        <f t="shared" si="7"/>
        <v>0</v>
      </c>
      <c r="BJ82">
        <f t="shared" si="7"/>
        <v>0</v>
      </c>
      <c r="BK82">
        <f t="shared" si="7"/>
        <v>0</v>
      </c>
      <c r="BL82">
        <f t="shared" si="7"/>
        <v>0</v>
      </c>
      <c r="BM82">
        <f t="shared" si="7"/>
        <v>0</v>
      </c>
      <c r="BN82">
        <f t="shared" si="7"/>
        <v>0</v>
      </c>
      <c r="BO82">
        <f t="shared" si="8"/>
        <v>0</v>
      </c>
      <c r="BP82">
        <f t="shared" si="8"/>
        <v>0</v>
      </c>
      <c r="BQ82">
        <f t="shared" si="8"/>
        <v>0</v>
      </c>
      <c r="BR82">
        <f t="shared" si="8"/>
        <v>0</v>
      </c>
      <c r="BS82">
        <f t="shared" si="8"/>
        <v>0</v>
      </c>
      <c r="BT82">
        <f t="shared" si="8"/>
        <v>0</v>
      </c>
      <c r="BU82">
        <f t="shared" si="8"/>
        <v>0</v>
      </c>
    </row>
    <row r="83" spans="1:73" x14ac:dyDescent="0.25">
      <c r="A83" t="s">
        <v>180</v>
      </c>
      <c r="D83">
        <f t="shared" si="3"/>
        <v>0.66</v>
      </c>
      <c r="E83">
        <f t="shared" si="3"/>
        <v>0.69</v>
      </c>
      <c r="F83">
        <f t="shared" si="3"/>
        <v>0.72</v>
      </c>
      <c r="G83">
        <f t="shared" si="3"/>
        <v>0.74</v>
      </c>
      <c r="H83">
        <f t="shared" si="3"/>
        <v>0.78</v>
      </c>
      <c r="I83">
        <f t="shared" si="3"/>
        <v>0.8</v>
      </c>
      <c r="J83">
        <f t="shared" si="3"/>
        <v>0.83</v>
      </c>
      <c r="K83">
        <f t="shared" si="3"/>
        <v>0.86</v>
      </c>
      <c r="L83">
        <f t="shared" si="3"/>
        <v>0.9</v>
      </c>
      <c r="M83">
        <f t="shared" si="3"/>
        <v>0.93</v>
      </c>
      <c r="N83">
        <f t="shared" si="3"/>
        <v>0.1</v>
      </c>
      <c r="O83">
        <f t="shared" si="3"/>
        <v>0.2</v>
      </c>
      <c r="P83">
        <f t="shared" si="3"/>
        <v>0.2</v>
      </c>
      <c r="Q83">
        <f t="shared" si="3"/>
        <v>0.3</v>
      </c>
      <c r="R83">
        <f t="shared" si="3"/>
        <v>0</v>
      </c>
      <c r="S83">
        <f t="shared" si="3"/>
        <v>0.2</v>
      </c>
      <c r="T83">
        <f t="shared" si="4"/>
        <v>0.2</v>
      </c>
      <c r="U83">
        <f t="shared" si="4"/>
        <v>0</v>
      </c>
      <c r="V83">
        <f t="shared" si="4"/>
        <v>0.3</v>
      </c>
      <c r="W83">
        <f t="shared" si="4"/>
        <v>0</v>
      </c>
      <c r="X83">
        <f t="shared" si="4"/>
        <v>0.2</v>
      </c>
      <c r="Y83">
        <f t="shared" si="4"/>
        <v>0</v>
      </c>
      <c r="AA83">
        <f t="shared" si="6"/>
        <v>0</v>
      </c>
      <c r="AB83">
        <f t="shared" si="6"/>
        <v>0</v>
      </c>
      <c r="AC83">
        <f t="shared" si="6"/>
        <v>0</v>
      </c>
      <c r="AD83">
        <f t="shared" si="6"/>
        <v>0</v>
      </c>
      <c r="AE83">
        <f t="shared" si="6"/>
        <v>0</v>
      </c>
      <c r="AF83">
        <f t="shared" si="6"/>
        <v>0</v>
      </c>
      <c r="AG83">
        <f t="shared" si="6"/>
        <v>0</v>
      </c>
      <c r="AH83">
        <f t="shared" si="6"/>
        <v>0</v>
      </c>
      <c r="AI83">
        <f t="shared" si="6"/>
        <v>0</v>
      </c>
      <c r="AJ83">
        <f t="shared" si="6"/>
        <v>0</v>
      </c>
      <c r="AK83">
        <f t="shared" si="6"/>
        <v>0</v>
      </c>
      <c r="AL83">
        <f t="shared" si="6"/>
        <v>0</v>
      </c>
      <c r="AM83">
        <f t="shared" si="6"/>
        <v>0</v>
      </c>
      <c r="AN83">
        <f t="shared" si="6"/>
        <v>0</v>
      </c>
      <c r="AO83">
        <f t="shared" si="6"/>
        <v>0</v>
      </c>
      <c r="AP83">
        <f t="shared" si="6"/>
        <v>0</v>
      </c>
      <c r="AQ83">
        <f t="shared" si="6"/>
        <v>0</v>
      </c>
      <c r="AR83">
        <f t="shared" si="6"/>
        <v>0</v>
      </c>
      <c r="AS83">
        <f t="shared" si="6"/>
        <v>0</v>
      </c>
      <c r="AT83">
        <f t="shared" si="6"/>
        <v>0</v>
      </c>
      <c r="AU83">
        <f t="shared" si="6"/>
        <v>0</v>
      </c>
      <c r="AV83">
        <f>SUMIF($A$6:$A$69,$A83,AV$6:AV$69)</f>
        <v>0</v>
      </c>
      <c r="AW83">
        <f>SUMIF($A$6:$A$69,$A83,AW$6:AW$69)</f>
        <v>0</v>
      </c>
    </row>
    <row r="84" spans="1:73" x14ac:dyDescent="0.25">
      <c r="A84" t="s">
        <v>181</v>
      </c>
      <c r="C84">
        <f t="shared" si="12"/>
        <v>0</v>
      </c>
      <c r="D84">
        <f t="shared" si="3"/>
        <v>0</v>
      </c>
      <c r="E84">
        <f t="shared" si="3"/>
        <v>0</v>
      </c>
      <c r="F84">
        <f t="shared" si="3"/>
        <v>0</v>
      </c>
      <c r="G84">
        <f t="shared" si="3"/>
        <v>0</v>
      </c>
      <c r="H84">
        <f t="shared" si="3"/>
        <v>0</v>
      </c>
      <c r="I84">
        <f t="shared" si="3"/>
        <v>0</v>
      </c>
      <c r="J84">
        <f t="shared" si="3"/>
        <v>0</v>
      </c>
      <c r="K84">
        <f t="shared" si="3"/>
        <v>0</v>
      </c>
      <c r="L84">
        <f t="shared" si="3"/>
        <v>0</v>
      </c>
      <c r="M84">
        <f t="shared" si="3"/>
        <v>0</v>
      </c>
      <c r="N84">
        <f t="shared" si="3"/>
        <v>0</v>
      </c>
      <c r="O84">
        <f t="shared" si="3"/>
        <v>0</v>
      </c>
      <c r="P84">
        <f t="shared" si="3"/>
        <v>0</v>
      </c>
      <c r="Q84">
        <f t="shared" si="3"/>
        <v>0</v>
      </c>
      <c r="R84">
        <f t="shared" si="3"/>
        <v>0</v>
      </c>
      <c r="S84">
        <f t="shared" si="3"/>
        <v>0.1</v>
      </c>
      <c r="T84">
        <f t="shared" si="4"/>
        <v>0.1</v>
      </c>
      <c r="U84">
        <f t="shared" si="4"/>
        <v>0</v>
      </c>
      <c r="V84">
        <f t="shared" si="4"/>
        <v>0</v>
      </c>
      <c r="W84">
        <f t="shared" si="4"/>
        <v>0</v>
      </c>
      <c r="X84">
        <f t="shared" si="4"/>
        <v>0.1</v>
      </c>
      <c r="Y84">
        <f t="shared" si="4"/>
        <v>0</v>
      </c>
      <c r="AA84">
        <f t="shared" si="6"/>
        <v>0</v>
      </c>
      <c r="AB84">
        <f t="shared" si="6"/>
        <v>0</v>
      </c>
      <c r="AC84">
        <f t="shared" si="6"/>
        <v>0</v>
      </c>
      <c r="AD84">
        <f t="shared" si="6"/>
        <v>0</v>
      </c>
      <c r="AE84">
        <f t="shared" si="6"/>
        <v>0</v>
      </c>
      <c r="AF84">
        <f t="shared" si="6"/>
        <v>0</v>
      </c>
      <c r="AG84">
        <f t="shared" si="6"/>
        <v>0</v>
      </c>
      <c r="AH84">
        <f t="shared" si="6"/>
        <v>0</v>
      </c>
      <c r="AI84">
        <f t="shared" si="6"/>
        <v>0</v>
      </c>
      <c r="AJ84">
        <f t="shared" si="6"/>
        <v>0</v>
      </c>
      <c r="AK84">
        <f t="shared" si="6"/>
        <v>0</v>
      </c>
      <c r="AL84">
        <f t="shared" si="6"/>
        <v>0</v>
      </c>
      <c r="AM84">
        <f t="shared" si="6"/>
        <v>0</v>
      </c>
      <c r="AN84">
        <f t="shared" si="6"/>
        <v>0</v>
      </c>
      <c r="AO84">
        <f t="shared" si="6"/>
        <v>0</v>
      </c>
      <c r="AP84">
        <f t="shared" si="6"/>
        <v>0</v>
      </c>
      <c r="AQ84">
        <f t="shared" si="6"/>
        <v>0</v>
      </c>
      <c r="AR84">
        <f t="shared" si="6"/>
        <v>0</v>
      </c>
      <c r="AS84">
        <f t="shared" si="6"/>
        <v>0</v>
      </c>
      <c r="AT84">
        <f t="shared" si="6"/>
        <v>0</v>
      </c>
      <c r="AU84">
        <f t="shared" si="6"/>
        <v>0</v>
      </c>
      <c r="AV84">
        <f t="shared" si="6"/>
        <v>0</v>
      </c>
      <c r="AW84">
        <f t="shared" si="6"/>
        <v>0</v>
      </c>
      <c r="AY84">
        <f t="shared" si="7"/>
        <v>0</v>
      </c>
      <c r="AZ84">
        <f t="shared" si="7"/>
        <v>0</v>
      </c>
      <c r="BA84">
        <f t="shared" si="7"/>
        <v>0</v>
      </c>
      <c r="BB84">
        <f t="shared" si="7"/>
        <v>0</v>
      </c>
      <c r="BC84">
        <f t="shared" si="7"/>
        <v>0</v>
      </c>
      <c r="BD84">
        <f t="shared" si="7"/>
        <v>0</v>
      </c>
      <c r="BE84">
        <f t="shared" si="7"/>
        <v>0</v>
      </c>
      <c r="BF84">
        <f t="shared" si="7"/>
        <v>0</v>
      </c>
      <c r="BG84">
        <f t="shared" si="7"/>
        <v>0</v>
      </c>
      <c r="BH84">
        <f t="shared" si="7"/>
        <v>0</v>
      </c>
      <c r="BI84">
        <f t="shared" si="7"/>
        <v>0</v>
      </c>
      <c r="BJ84">
        <f t="shared" si="7"/>
        <v>0</v>
      </c>
      <c r="BK84">
        <f t="shared" si="7"/>
        <v>0</v>
      </c>
      <c r="BL84">
        <f t="shared" si="7"/>
        <v>0</v>
      </c>
      <c r="BM84">
        <f t="shared" si="7"/>
        <v>0</v>
      </c>
      <c r="BN84">
        <f t="shared" si="7"/>
        <v>0</v>
      </c>
      <c r="BO84">
        <f t="shared" si="8"/>
        <v>0</v>
      </c>
      <c r="BP84">
        <f t="shared" si="8"/>
        <v>0</v>
      </c>
      <c r="BQ84">
        <f t="shared" si="8"/>
        <v>0</v>
      </c>
      <c r="BR84">
        <f t="shared" si="8"/>
        <v>0</v>
      </c>
      <c r="BS84">
        <f t="shared" si="8"/>
        <v>0</v>
      </c>
      <c r="BT84">
        <f t="shared" si="8"/>
        <v>0</v>
      </c>
      <c r="BU84">
        <f t="shared" si="8"/>
        <v>0</v>
      </c>
    </row>
    <row r="85" spans="1:73" x14ac:dyDescent="0.25">
      <c r="A85" t="s">
        <v>160</v>
      </c>
      <c r="C85">
        <f t="shared" si="12"/>
        <v>0</v>
      </c>
      <c r="D85">
        <f t="shared" si="3"/>
        <v>0</v>
      </c>
      <c r="E85">
        <f t="shared" si="3"/>
        <v>0</v>
      </c>
      <c r="F85">
        <f t="shared" si="3"/>
        <v>0</v>
      </c>
      <c r="G85">
        <f t="shared" si="3"/>
        <v>0</v>
      </c>
      <c r="H85">
        <f t="shared" si="3"/>
        <v>0</v>
      </c>
      <c r="I85">
        <f t="shared" si="3"/>
        <v>0</v>
      </c>
      <c r="J85">
        <f t="shared" si="3"/>
        <v>0</v>
      </c>
      <c r="K85">
        <f t="shared" si="3"/>
        <v>0</v>
      </c>
      <c r="L85">
        <f t="shared" si="3"/>
        <v>0</v>
      </c>
      <c r="M85">
        <f t="shared" si="3"/>
        <v>0</v>
      </c>
      <c r="N85">
        <f t="shared" si="3"/>
        <v>0</v>
      </c>
      <c r="O85">
        <f t="shared" si="3"/>
        <v>0</v>
      </c>
      <c r="P85">
        <f t="shared" si="3"/>
        <v>0</v>
      </c>
      <c r="Q85">
        <f t="shared" si="3"/>
        <v>0</v>
      </c>
      <c r="R85">
        <f t="shared" si="3"/>
        <v>0</v>
      </c>
      <c r="S85">
        <f t="shared" si="3"/>
        <v>0</v>
      </c>
      <c r="T85">
        <f t="shared" si="4"/>
        <v>0</v>
      </c>
      <c r="U85">
        <f t="shared" si="4"/>
        <v>0</v>
      </c>
      <c r="V85">
        <f t="shared" si="4"/>
        <v>0</v>
      </c>
      <c r="W85">
        <f t="shared" si="4"/>
        <v>0</v>
      </c>
      <c r="X85">
        <f t="shared" si="4"/>
        <v>0</v>
      </c>
      <c r="Y85">
        <f t="shared" si="4"/>
        <v>0</v>
      </c>
      <c r="AA85">
        <f t="shared" si="6"/>
        <v>0</v>
      </c>
      <c r="AB85">
        <f t="shared" si="6"/>
        <v>0</v>
      </c>
      <c r="AC85">
        <f t="shared" si="6"/>
        <v>0</v>
      </c>
      <c r="AD85">
        <f t="shared" si="6"/>
        <v>0</v>
      </c>
      <c r="AE85">
        <f t="shared" si="6"/>
        <v>0</v>
      </c>
      <c r="AF85">
        <f t="shared" si="6"/>
        <v>0</v>
      </c>
      <c r="AG85">
        <f t="shared" si="6"/>
        <v>0</v>
      </c>
      <c r="AH85">
        <f t="shared" si="6"/>
        <v>0</v>
      </c>
      <c r="AI85">
        <f t="shared" si="6"/>
        <v>0</v>
      </c>
      <c r="AJ85">
        <f t="shared" si="6"/>
        <v>0</v>
      </c>
      <c r="AK85">
        <f t="shared" si="6"/>
        <v>0</v>
      </c>
      <c r="AL85">
        <f t="shared" si="6"/>
        <v>0</v>
      </c>
      <c r="AM85">
        <f t="shared" si="6"/>
        <v>0</v>
      </c>
      <c r="AN85">
        <f t="shared" si="6"/>
        <v>0</v>
      </c>
      <c r="AO85">
        <f t="shared" si="6"/>
        <v>0</v>
      </c>
      <c r="AP85">
        <f t="shared" si="6"/>
        <v>0</v>
      </c>
      <c r="AQ85">
        <f t="shared" si="6"/>
        <v>0</v>
      </c>
      <c r="AR85">
        <f t="shared" si="6"/>
        <v>0</v>
      </c>
      <c r="AS85">
        <f t="shared" si="6"/>
        <v>0</v>
      </c>
      <c r="AT85">
        <f t="shared" si="6"/>
        <v>0</v>
      </c>
      <c r="AU85">
        <f t="shared" si="6"/>
        <v>0</v>
      </c>
      <c r="AV85">
        <f t="shared" si="6"/>
        <v>0</v>
      </c>
      <c r="AW85">
        <f t="shared" si="6"/>
        <v>0</v>
      </c>
      <c r="AY85">
        <f t="shared" si="7"/>
        <v>0</v>
      </c>
      <c r="AZ85">
        <f t="shared" si="7"/>
        <v>0</v>
      </c>
      <c r="BA85">
        <f t="shared" si="7"/>
        <v>0</v>
      </c>
      <c r="BB85">
        <f t="shared" si="7"/>
        <v>0</v>
      </c>
      <c r="BC85">
        <f t="shared" si="7"/>
        <v>0</v>
      </c>
      <c r="BD85">
        <f t="shared" si="7"/>
        <v>0</v>
      </c>
      <c r="BE85">
        <f t="shared" si="7"/>
        <v>0</v>
      </c>
      <c r="BF85">
        <f t="shared" si="7"/>
        <v>0</v>
      </c>
      <c r="BG85">
        <f t="shared" si="7"/>
        <v>0</v>
      </c>
      <c r="BH85">
        <f t="shared" si="7"/>
        <v>0</v>
      </c>
      <c r="BI85">
        <f t="shared" si="7"/>
        <v>0</v>
      </c>
      <c r="BJ85">
        <f t="shared" si="7"/>
        <v>0</v>
      </c>
      <c r="BK85">
        <f t="shared" si="7"/>
        <v>0</v>
      </c>
      <c r="BL85">
        <f t="shared" si="7"/>
        <v>0</v>
      </c>
      <c r="BM85">
        <f t="shared" si="7"/>
        <v>0</v>
      </c>
      <c r="BN85">
        <f t="shared" si="7"/>
        <v>0</v>
      </c>
      <c r="BO85">
        <f t="shared" si="8"/>
        <v>0</v>
      </c>
      <c r="BP85">
        <f t="shared" si="8"/>
        <v>0</v>
      </c>
      <c r="BQ85">
        <f t="shared" si="8"/>
        <v>0</v>
      </c>
      <c r="BR85">
        <f t="shared" si="8"/>
        <v>0</v>
      </c>
      <c r="BS85">
        <f t="shared" si="8"/>
        <v>0</v>
      </c>
      <c r="BT85">
        <f t="shared" si="8"/>
        <v>0</v>
      </c>
      <c r="BU85">
        <f t="shared" si="8"/>
        <v>0</v>
      </c>
    </row>
    <row r="86" spans="1:73" x14ac:dyDescent="0.25">
      <c r="A86" t="s">
        <v>161</v>
      </c>
      <c r="C86">
        <f t="shared" si="12"/>
        <v>0</v>
      </c>
      <c r="D86">
        <f t="shared" si="3"/>
        <v>0</v>
      </c>
      <c r="E86">
        <f t="shared" si="3"/>
        <v>0</v>
      </c>
      <c r="F86">
        <f t="shared" si="3"/>
        <v>0</v>
      </c>
      <c r="G86">
        <f t="shared" si="3"/>
        <v>0</v>
      </c>
      <c r="H86">
        <f t="shared" si="3"/>
        <v>0</v>
      </c>
      <c r="I86">
        <f t="shared" si="3"/>
        <v>0</v>
      </c>
      <c r="J86">
        <f t="shared" si="3"/>
        <v>0</v>
      </c>
      <c r="K86">
        <f t="shared" si="3"/>
        <v>0</v>
      </c>
      <c r="L86">
        <f t="shared" si="3"/>
        <v>0</v>
      </c>
      <c r="M86">
        <f t="shared" si="3"/>
        <v>0</v>
      </c>
      <c r="N86">
        <f t="shared" si="3"/>
        <v>0</v>
      </c>
      <c r="O86">
        <f t="shared" si="3"/>
        <v>0</v>
      </c>
      <c r="P86">
        <f t="shared" si="3"/>
        <v>0</v>
      </c>
      <c r="Q86">
        <f t="shared" si="3"/>
        <v>0</v>
      </c>
      <c r="R86">
        <f t="shared" si="3"/>
        <v>0.5</v>
      </c>
      <c r="S86">
        <f t="shared" si="3"/>
        <v>0</v>
      </c>
      <c r="T86">
        <f t="shared" si="4"/>
        <v>0</v>
      </c>
      <c r="U86">
        <f t="shared" si="4"/>
        <v>0.5</v>
      </c>
      <c r="V86">
        <f t="shared" si="4"/>
        <v>0</v>
      </c>
      <c r="W86">
        <f t="shared" si="4"/>
        <v>0.5</v>
      </c>
      <c r="X86">
        <f t="shared" si="4"/>
        <v>0</v>
      </c>
      <c r="Y86">
        <f t="shared" si="4"/>
        <v>0.5</v>
      </c>
      <c r="AA86">
        <f t="shared" si="6"/>
        <v>0</v>
      </c>
      <c r="AB86">
        <f t="shared" si="6"/>
        <v>0</v>
      </c>
      <c r="AC86">
        <f t="shared" si="6"/>
        <v>0</v>
      </c>
      <c r="AD86">
        <f t="shared" si="6"/>
        <v>0</v>
      </c>
      <c r="AE86">
        <f t="shared" si="6"/>
        <v>0</v>
      </c>
      <c r="AF86">
        <f t="shared" si="6"/>
        <v>0</v>
      </c>
      <c r="AG86">
        <f t="shared" si="6"/>
        <v>0</v>
      </c>
      <c r="AH86">
        <f t="shared" si="6"/>
        <v>0</v>
      </c>
      <c r="AI86">
        <f t="shared" si="6"/>
        <v>0</v>
      </c>
      <c r="AJ86">
        <f t="shared" si="6"/>
        <v>0</v>
      </c>
      <c r="AK86">
        <f t="shared" si="6"/>
        <v>0</v>
      </c>
      <c r="AL86">
        <f t="shared" si="6"/>
        <v>0</v>
      </c>
      <c r="AM86">
        <f t="shared" si="6"/>
        <v>0</v>
      </c>
      <c r="AN86">
        <f t="shared" si="6"/>
        <v>0</v>
      </c>
      <c r="AO86">
        <f t="shared" si="6"/>
        <v>0</v>
      </c>
      <c r="AP86">
        <f t="shared" si="6"/>
        <v>0</v>
      </c>
      <c r="AQ86">
        <f t="shared" si="6"/>
        <v>0</v>
      </c>
      <c r="AR86">
        <f t="shared" si="6"/>
        <v>0</v>
      </c>
      <c r="AS86">
        <f t="shared" si="6"/>
        <v>0</v>
      </c>
      <c r="AT86">
        <f t="shared" si="6"/>
        <v>0</v>
      </c>
      <c r="AU86">
        <f t="shared" si="6"/>
        <v>0</v>
      </c>
      <c r="AV86">
        <f t="shared" si="6"/>
        <v>0</v>
      </c>
      <c r="AW86">
        <f t="shared" si="6"/>
        <v>25</v>
      </c>
      <c r="AY86">
        <f t="shared" si="7"/>
        <v>0</v>
      </c>
      <c r="AZ86">
        <f t="shared" si="7"/>
        <v>0</v>
      </c>
      <c r="BA86">
        <f t="shared" si="7"/>
        <v>0</v>
      </c>
      <c r="BB86">
        <f t="shared" si="7"/>
        <v>0</v>
      </c>
      <c r="BC86">
        <f t="shared" si="7"/>
        <v>0</v>
      </c>
      <c r="BD86">
        <f t="shared" si="7"/>
        <v>0</v>
      </c>
      <c r="BE86">
        <f t="shared" si="7"/>
        <v>0</v>
      </c>
      <c r="BF86">
        <f t="shared" si="7"/>
        <v>0</v>
      </c>
      <c r="BG86">
        <f t="shared" si="7"/>
        <v>0</v>
      </c>
      <c r="BH86">
        <f t="shared" si="7"/>
        <v>0</v>
      </c>
      <c r="BI86">
        <f t="shared" si="7"/>
        <v>0</v>
      </c>
      <c r="BJ86">
        <f t="shared" si="7"/>
        <v>0</v>
      </c>
      <c r="BK86">
        <f t="shared" si="7"/>
        <v>0</v>
      </c>
      <c r="BL86">
        <f t="shared" si="7"/>
        <v>0</v>
      </c>
      <c r="BM86">
        <f t="shared" si="7"/>
        <v>0</v>
      </c>
      <c r="BN86">
        <f t="shared" si="7"/>
        <v>0</v>
      </c>
      <c r="BO86">
        <f t="shared" si="8"/>
        <v>0</v>
      </c>
      <c r="BP86">
        <f t="shared" si="8"/>
        <v>0</v>
      </c>
      <c r="BQ86">
        <f t="shared" si="8"/>
        <v>0</v>
      </c>
      <c r="BR86">
        <f t="shared" si="8"/>
        <v>0</v>
      </c>
      <c r="BS86">
        <f t="shared" si="8"/>
        <v>0</v>
      </c>
      <c r="BT86">
        <f t="shared" si="8"/>
        <v>0</v>
      </c>
      <c r="BU86">
        <f t="shared" si="8"/>
        <v>0</v>
      </c>
    </row>
    <row r="87" spans="1:73" x14ac:dyDescent="0.25">
      <c r="A87" t="s">
        <v>162</v>
      </c>
      <c r="C87">
        <f t="shared" si="12"/>
        <v>0</v>
      </c>
      <c r="D87">
        <f t="shared" si="3"/>
        <v>0</v>
      </c>
      <c r="E87">
        <f t="shared" si="3"/>
        <v>0</v>
      </c>
      <c r="F87">
        <f t="shared" si="3"/>
        <v>0</v>
      </c>
      <c r="G87">
        <f t="shared" si="3"/>
        <v>0</v>
      </c>
      <c r="H87">
        <f t="shared" si="3"/>
        <v>0</v>
      </c>
      <c r="I87">
        <f t="shared" si="3"/>
        <v>0</v>
      </c>
      <c r="J87">
        <f t="shared" si="3"/>
        <v>0</v>
      </c>
      <c r="K87">
        <f t="shared" si="3"/>
        <v>0</v>
      </c>
      <c r="L87">
        <f t="shared" si="3"/>
        <v>0</v>
      </c>
      <c r="M87">
        <f t="shared" si="3"/>
        <v>0</v>
      </c>
      <c r="N87">
        <f t="shared" si="3"/>
        <v>0</v>
      </c>
      <c r="O87">
        <f t="shared" si="3"/>
        <v>0</v>
      </c>
      <c r="P87">
        <f>SUMIF($A$6:$A$69,$A87,P$6:P$69)</f>
        <v>0</v>
      </c>
      <c r="Q87">
        <f t="shared" si="3"/>
        <v>0</v>
      </c>
      <c r="R87">
        <f t="shared" si="3"/>
        <v>0</v>
      </c>
      <c r="S87">
        <f t="shared" si="3"/>
        <v>0</v>
      </c>
      <c r="T87">
        <f t="shared" si="4"/>
        <v>0</v>
      </c>
      <c r="U87">
        <f t="shared" si="4"/>
        <v>0</v>
      </c>
      <c r="V87">
        <f t="shared" si="4"/>
        <v>0</v>
      </c>
      <c r="W87">
        <f t="shared" si="4"/>
        <v>0</v>
      </c>
      <c r="X87">
        <f t="shared" si="4"/>
        <v>0</v>
      </c>
      <c r="Y87">
        <f t="shared" si="4"/>
        <v>0</v>
      </c>
      <c r="AA87">
        <f t="shared" si="6"/>
        <v>0</v>
      </c>
      <c r="AB87">
        <f t="shared" si="6"/>
        <v>0</v>
      </c>
      <c r="AC87">
        <f t="shared" si="6"/>
        <v>0</v>
      </c>
      <c r="AD87">
        <f t="shared" si="6"/>
        <v>0</v>
      </c>
      <c r="AE87">
        <f t="shared" si="6"/>
        <v>0</v>
      </c>
      <c r="AF87">
        <f t="shared" si="6"/>
        <v>0</v>
      </c>
      <c r="AG87">
        <f t="shared" si="6"/>
        <v>0</v>
      </c>
      <c r="AH87">
        <f t="shared" si="6"/>
        <v>0</v>
      </c>
      <c r="AI87">
        <f t="shared" si="6"/>
        <v>0</v>
      </c>
      <c r="AJ87">
        <f t="shared" si="6"/>
        <v>0</v>
      </c>
      <c r="AK87">
        <f t="shared" si="6"/>
        <v>0</v>
      </c>
      <c r="AL87">
        <f t="shared" si="6"/>
        <v>0</v>
      </c>
      <c r="AM87">
        <f t="shared" si="6"/>
        <v>0</v>
      </c>
      <c r="AN87">
        <f t="shared" si="6"/>
        <v>0</v>
      </c>
      <c r="AO87">
        <f t="shared" si="6"/>
        <v>0</v>
      </c>
      <c r="AP87">
        <f t="shared" si="6"/>
        <v>0</v>
      </c>
      <c r="AQ87">
        <f t="shared" si="6"/>
        <v>0</v>
      </c>
      <c r="AR87">
        <f t="shared" si="6"/>
        <v>0</v>
      </c>
      <c r="AS87">
        <f t="shared" si="6"/>
        <v>0</v>
      </c>
      <c r="AT87">
        <f t="shared" si="6"/>
        <v>0</v>
      </c>
      <c r="AU87">
        <f t="shared" si="6"/>
        <v>0</v>
      </c>
      <c r="AV87">
        <f t="shared" si="6"/>
        <v>0</v>
      </c>
      <c r="AW87">
        <f t="shared" si="6"/>
        <v>0</v>
      </c>
      <c r="AY87">
        <f t="shared" si="7"/>
        <v>0</v>
      </c>
      <c r="AZ87">
        <f t="shared" si="7"/>
        <v>0</v>
      </c>
      <c r="BA87">
        <f t="shared" si="7"/>
        <v>0</v>
      </c>
      <c r="BB87">
        <f t="shared" si="7"/>
        <v>0</v>
      </c>
      <c r="BC87">
        <f t="shared" si="7"/>
        <v>0</v>
      </c>
      <c r="BD87">
        <f t="shared" si="7"/>
        <v>0</v>
      </c>
      <c r="BE87">
        <f t="shared" si="7"/>
        <v>0</v>
      </c>
      <c r="BF87">
        <f t="shared" si="7"/>
        <v>0</v>
      </c>
      <c r="BG87">
        <f t="shared" si="7"/>
        <v>0</v>
      </c>
      <c r="BH87">
        <f t="shared" si="7"/>
        <v>0</v>
      </c>
      <c r="BI87">
        <f t="shared" si="7"/>
        <v>0</v>
      </c>
      <c r="BJ87">
        <f t="shared" si="7"/>
        <v>0</v>
      </c>
      <c r="BK87">
        <f t="shared" si="7"/>
        <v>0</v>
      </c>
      <c r="BL87">
        <f t="shared" si="7"/>
        <v>0</v>
      </c>
      <c r="BM87">
        <f t="shared" si="7"/>
        <v>0</v>
      </c>
      <c r="BN87">
        <f t="shared" si="7"/>
        <v>0</v>
      </c>
      <c r="BO87">
        <f t="shared" si="8"/>
        <v>0</v>
      </c>
      <c r="BP87">
        <f t="shared" si="8"/>
        <v>0</v>
      </c>
      <c r="BQ87">
        <f t="shared" si="8"/>
        <v>0</v>
      </c>
      <c r="BR87">
        <f t="shared" si="8"/>
        <v>0</v>
      </c>
      <c r="BS87">
        <f t="shared" si="8"/>
        <v>0</v>
      </c>
      <c r="BT87">
        <f t="shared" si="8"/>
        <v>0</v>
      </c>
      <c r="BU87">
        <f t="shared" si="8"/>
        <v>0</v>
      </c>
    </row>
    <row r="88" spans="1:73" x14ac:dyDescent="0.25">
      <c r="A88" t="s">
        <v>163</v>
      </c>
      <c r="C88">
        <f t="shared" si="12"/>
        <v>0</v>
      </c>
      <c r="D88">
        <f t="shared" si="3"/>
        <v>0</v>
      </c>
      <c r="E88">
        <f t="shared" si="3"/>
        <v>0</v>
      </c>
      <c r="F88">
        <f t="shared" si="3"/>
        <v>0</v>
      </c>
      <c r="G88">
        <f t="shared" si="3"/>
        <v>0</v>
      </c>
      <c r="H88">
        <f t="shared" si="3"/>
        <v>0</v>
      </c>
      <c r="I88">
        <f t="shared" si="3"/>
        <v>0</v>
      </c>
      <c r="J88">
        <f t="shared" si="3"/>
        <v>0</v>
      </c>
      <c r="K88">
        <f t="shared" si="3"/>
        <v>0</v>
      </c>
      <c r="L88">
        <f t="shared" si="3"/>
        <v>0</v>
      </c>
      <c r="M88">
        <f t="shared" si="3"/>
        <v>0</v>
      </c>
      <c r="N88">
        <f t="shared" si="3"/>
        <v>0</v>
      </c>
      <c r="O88">
        <f t="shared" si="3"/>
        <v>0</v>
      </c>
      <c r="P88">
        <f t="shared" si="3"/>
        <v>0</v>
      </c>
      <c r="Q88">
        <f t="shared" si="3"/>
        <v>0</v>
      </c>
      <c r="R88">
        <f t="shared" si="3"/>
        <v>0</v>
      </c>
      <c r="S88">
        <f t="shared" si="3"/>
        <v>52.1</v>
      </c>
      <c r="T88">
        <f t="shared" si="4"/>
        <v>0</v>
      </c>
      <c r="U88">
        <f t="shared" si="4"/>
        <v>0</v>
      </c>
      <c r="V88">
        <f t="shared" si="4"/>
        <v>0</v>
      </c>
      <c r="W88">
        <f t="shared" si="4"/>
        <v>0</v>
      </c>
      <c r="X88">
        <f t="shared" si="4"/>
        <v>0</v>
      </c>
      <c r="Y88">
        <f t="shared" si="4"/>
        <v>0</v>
      </c>
      <c r="AA88">
        <f t="shared" si="6"/>
        <v>0</v>
      </c>
      <c r="AB88">
        <f t="shared" si="6"/>
        <v>0</v>
      </c>
      <c r="AC88">
        <f t="shared" si="6"/>
        <v>0</v>
      </c>
      <c r="AD88">
        <f t="shared" si="6"/>
        <v>0</v>
      </c>
      <c r="AE88">
        <f t="shared" si="6"/>
        <v>0</v>
      </c>
      <c r="AF88">
        <f t="shared" si="6"/>
        <v>0</v>
      </c>
      <c r="AG88">
        <f t="shared" si="6"/>
        <v>0</v>
      </c>
      <c r="AH88">
        <f t="shared" si="6"/>
        <v>0</v>
      </c>
      <c r="AI88">
        <f t="shared" si="6"/>
        <v>0</v>
      </c>
      <c r="AJ88">
        <f t="shared" si="6"/>
        <v>0</v>
      </c>
      <c r="AK88">
        <f t="shared" si="6"/>
        <v>0</v>
      </c>
      <c r="AL88">
        <f t="shared" si="6"/>
        <v>0</v>
      </c>
      <c r="AM88">
        <f t="shared" si="6"/>
        <v>0</v>
      </c>
      <c r="AN88">
        <f t="shared" si="6"/>
        <v>0</v>
      </c>
      <c r="AO88">
        <f t="shared" si="6"/>
        <v>0</v>
      </c>
      <c r="AP88">
        <f t="shared" si="6"/>
        <v>0</v>
      </c>
      <c r="AQ88">
        <f t="shared" si="6"/>
        <v>0</v>
      </c>
      <c r="AR88">
        <f t="shared" si="6"/>
        <v>0</v>
      </c>
      <c r="AS88">
        <f t="shared" si="6"/>
        <v>0</v>
      </c>
      <c r="AT88">
        <f t="shared" si="6"/>
        <v>0</v>
      </c>
      <c r="AU88">
        <f t="shared" si="6"/>
        <v>0</v>
      </c>
      <c r="AV88">
        <f t="shared" si="6"/>
        <v>0</v>
      </c>
      <c r="AW88">
        <f t="shared" si="6"/>
        <v>0</v>
      </c>
      <c r="AY88">
        <f t="shared" si="7"/>
        <v>0</v>
      </c>
      <c r="AZ88">
        <f t="shared" si="7"/>
        <v>0</v>
      </c>
      <c r="BA88">
        <f t="shared" si="7"/>
        <v>0</v>
      </c>
      <c r="BB88">
        <f t="shared" si="7"/>
        <v>0</v>
      </c>
      <c r="BC88">
        <f t="shared" si="7"/>
        <v>0</v>
      </c>
      <c r="BD88">
        <f t="shared" si="7"/>
        <v>0</v>
      </c>
      <c r="BE88">
        <f t="shared" si="7"/>
        <v>0</v>
      </c>
      <c r="BF88">
        <f t="shared" si="7"/>
        <v>0</v>
      </c>
      <c r="BG88">
        <f t="shared" si="7"/>
        <v>0</v>
      </c>
      <c r="BH88">
        <f t="shared" si="7"/>
        <v>0</v>
      </c>
      <c r="BI88">
        <f t="shared" si="7"/>
        <v>0</v>
      </c>
      <c r="BJ88">
        <f t="shared" si="7"/>
        <v>0</v>
      </c>
      <c r="BK88">
        <f t="shared" si="7"/>
        <v>0</v>
      </c>
      <c r="BL88">
        <f t="shared" si="7"/>
        <v>0</v>
      </c>
      <c r="BM88">
        <f t="shared" si="7"/>
        <v>0</v>
      </c>
      <c r="BN88">
        <f t="shared" si="7"/>
        <v>0</v>
      </c>
      <c r="BO88">
        <f t="shared" si="8"/>
        <v>0</v>
      </c>
      <c r="BP88">
        <f t="shared" si="8"/>
        <v>0</v>
      </c>
      <c r="BQ88">
        <f t="shared" si="8"/>
        <v>0</v>
      </c>
      <c r="BR88">
        <f t="shared" si="8"/>
        <v>0</v>
      </c>
      <c r="BS88">
        <f t="shared" si="8"/>
        <v>68</v>
      </c>
      <c r="BT88">
        <f t="shared" si="8"/>
        <v>50</v>
      </c>
      <c r="BU88">
        <f t="shared" si="8"/>
        <v>0</v>
      </c>
    </row>
    <row r="89" spans="1:73" x14ac:dyDescent="0.25">
      <c r="A89" t="s">
        <v>182</v>
      </c>
      <c r="C89">
        <f>SUMIF($A$6:$A$69,$A89,C$6:C$69)</f>
        <v>0</v>
      </c>
      <c r="D89">
        <f t="shared" si="3"/>
        <v>0</v>
      </c>
      <c r="E89">
        <f t="shared" si="3"/>
        <v>0</v>
      </c>
      <c r="F89">
        <f t="shared" si="3"/>
        <v>0</v>
      </c>
      <c r="G89">
        <f t="shared" si="3"/>
        <v>0</v>
      </c>
      <c r="H89">
        <f t="shared" si="3"/>
        <v>0</v>
      </c>
      <c r="I89">
        <f t="shared" si="3"/>
        <v>0</v>
      </c>
      <c r="J89">
        <f t="shared" si="3"/>
        <v>0</v>
      </c>
      <c r="K89">
        <f t="shared" si="3"/>
        <v>0</v>
      </c>
      <c r="L89">
        <f t="shared" si="3"/>
        <v>0</v>
      </c>
      <c r="M89">
        <f t="shared" si="3"/>
        <v>0</v>
      </c>
      <c r="N89">
        <f t="shared" si="3"/>
        <v>0</v>
      </c>
      <c r="O89">
        <f t="shared" si="3"/>
        <v>0</v>
      </c>
      <c r="P89">
        <f t="shared" si="3"/>
        <v>88.3</v>
      </c>
      <c r="Q89">
        <f t="shared" si="3"/>
        <v>0</v>
      </c>
      <c r="R89">
        <f t="shared" si="3"/>
        <v>0</v>
      </c>
      <c r="S89">
        <f t="shared" si="3"/>
        <v>0</v>
      </c>
      <c r="T89">
        <f t="shared" si="4"/>
        <v>0</v>
      </c>
      <c r="U89">
        <f t="shared" si="4"/>
        <v>74</v>
      </c>
      <c r="V89">
        <f t="shared" si="4"/>
        <v>186.2</v>
      </c>
      <c r="W89">
        <f t="shared" si="4"/>
        <v>0</v>
      </c>
      <c r="X89">
        <f t="shared" si="4"/>
        <v>0</v>
      </c>
      <c r="Y89">
        <f t="shared" si="4"/>
        <v>348</v>
      </c>
      <c r="AA89">
        <f t="shared" ref="AA89:AW89" si="13">SUMIF($A$6:$A$69,$A89,AA$6:AA$69)</f>
        <v>0</v>
      </c>
      <c r="AB89">
        <f t="shared" si="13"/>
        <v>0</v>
      </c>
      <c r="AC89">
        <f t="shared" si="13"/>
        <v>0</v>
      </c>
      <c r="AD89">
        <f t="shared" si="13"/>
        <v>0</v>
      </c>
      <c r="AE89">
        <f t="shared" si="13"/>
        <v>0</v>
      </c>
      <c r="AF89">
        <f t="shared" si="13"/>
        <v>0</v>
      </c>
      <c r="AG89">
        <f t="shared" si="13"/>
        <v>0</v>
      </c>
      <c r="AH89">
        <f t="shared" si="13"/>
        <v>0</v>
      </c>
      <c r="AI89">
        <f t="shared" si="13"/>
        <v>0</v>
      </c>
      <c r="AJ89">
        <f t="shared" si="13"/>
        <v>0</v>
      </c>
      <c r="AK89">
        <f t="shared" si="13"/>
        <v>0</v>
      </c>
      <c r="AL89">
        <f t="shared" si="13"/>
        <v>0</v>
      </c>
      <c r="AM89">
        <f t="shared" si="13"/>
        <v>0</v>
      </c>
      <c r="AN89">
        <f t="shared" si="13"/>
        <v>0</v>
      </c>
      <c r="AO89">
        <f t="shared" si="13"/>
        <v>0</v>
      </c>
      <c r="AP89">
        <f t="shared" si="13"/>
        <v>0</v>
      </c>
      <c r="AQ89">
        <f t="shared" si="13"/>
        <v>0</v>
      </c>
      <c r="AR89">
        <f t="shared" si="13"/>
        <v>0</v>
      </c>
      <c r="AS89">
        <f t="shared" si="13"/>
        <v>0</v>
      </c>
      <c r="AT89">
        <f t="shared" si="13"/>
        <v>0</v>
      </c>
      <c r="AU89">
        <f t="shared" si="13"/>
        <v>0</v>
      </c>
      <c r="AV89">
        <f t="shared" si="13"/>
        <v>0</v>
      </c>
      <c r="AW89">
        <f t="shared" si="13"/>
        <v>0</v>
      </c>
      <c r="AY89">
        <f t="shared" si="7"/>
        <v>0</v>
      </c>
      <c r="AZ89">
        <f t="shared" si="7"/>
        <v>0</v>
      </c>
      <c r="BA89">
        <f t="shared" si="7"/>
        <v>0</v>
      </c>
      <c r="BB89">
        <f t="shared" si="7"/>
        <v>0</v>
      </c>
      <c r="BC89">
        <f t="shared" si="7"/>
        <v>0</v>
      </c>
      <c r="BD89">
        <f t="shared" si="7"/>
        <v>0</v>
      </c>
      <c r="BE89">
        <f t="shared" si="7"/>
        <v>0</v>
      </c>
      <c r="BF89">
        <f t="shared" si="7"/>
        <v>0</v>
      </c>
      <c r="BG89">
        <f t="shared" si="7"/>
        <v>0</v>
      </c>
      <c r="BH89">
        <f t="shared" si="7"/>
        <v>0</v>
      </c>
      <c r="BI89">
        <f t="shared" si="7"/>
        <v>0</v>
      </c>
      <c r="BJ89">
        <f t="shared" si="7"/>
        <v>0</v>
      </c>
      <c r="BK89">
        <f t="shared" si="7"/>
        <v>0</v>
      </c>
      <c r="BL89">
        <f t="shared" si="7"/>
        <v>0</v>
      </c>
      <c r="BM89">
        <f t="shared" si="7"/>
        <v>0</v>
      </c>
      <c r="BN89">
        <f t="shared" si="7"/>
        <v>0</v>
      </c>
      <c r="BO89">
        <f t="shared" si="8"/>
        <v>0</v>
      </c>
      <c r="BP89">
        <f t="shared" si="8"/>
        <v>0</v>
      </c>
      <c r="BQ89">
        <f t="shared" si="8"/>
        <v>0</v>
      </c>
      <c r="BR89">
        <f t="shared" si="8"/>
        <v>0</v>
      </c>
      <c r="BS89">
        <f t="shared" si="8"/>
        <v>0</v>
      </c>
      <c r="BT89">
        <f t="shared" si="8"/>
        <v>0</v>
      </c>
      <c r="BU89">
        <f t="shared" si="8"/>
        <v>0</v>
      </c>
    </row>
    <row r="91" spans="1:73" x14ac:dyDescent="0.25">
      <c r="A91" t="s">
        <v>165</v>
      </c>
      <c r="D91" s="99">
        <f>SUM(D76:D89)-SUM(D6:D69)</f>
        <v>0</v>
      </c>
      <c r="E91" s="99">
        <f t="shared" ref="E91:BP91" si="14">SUM(E76:E89)-SUM(E6:E69)</f>
        <v>0</v>
      </c>
      <c r="F91" s="99">
        <f t="shared" si="14"/>
        <v>0</v>
      </c>
      <c r="G91" s="99">
        <f t="shared" si="14"/>
        <v>0</v>
      </c>
      <c r="H91" s="99">
        <f t="shared" si="14"/>
        <v>0</v>
      </c>
      <c r="I91" s="99">
        <f t="shared" si="14"/>
        <v>0</v>
      </c>
      <c r="J91" s="99">
        <f t="shared" si="14"/>
        <v>0</v>
      </c>
      <c r="K91" s="99">
        <f t="shared" si="14"/>
        <v>0</v>
      </c>
      <c r="L91" s="99">
        <f t="shared" si="14"/>
        <v>0</v>
      </c>
      <c r="M91" s="99">
        <f t="shared" si="14"/>
        <v>0</v>
      </c>
      <c r="N91" s="99">
        <f t="shared" si="14"/>
        <v>0</v>
      </c>
      <c r="O91" s="99">
        <f t="shared" si="14"/>
        <v>0</v>
      </c>
      <c r="P91" s="99">
        <f t="shared" si="14"/>
        <v>0</v>
      </c>
      <c r="Q91" s="99">
        <f t="shared" si="14"/>
        <v>0</v>
      </c>
      <c r="R91" s="99">
        <f t="shared" si="14"/>
        <v>0</v>
      </c>
      <c r="S91" s="99">
        <f t="shared" si="14"/>
        <v>0</v>
      </c>
      <c r="T91" s="99">
        <f t="shared" si="14"/>
        <v>0</v>
      </c>
      <c r="U91" s="99">
        <f t="shared" si="14"/>
        <v>0</v>
      </c>
      <c r="V91" s="99">
        <f t="shared" si="14"/>
        <v>0</v>
      </c>
      <c r="W91" s="99">
        <f t="shared" si="14"/>
        <v>0</v>
      </c>
      <c r="X91" s="99">
        <f t="shared" si="14"/>
        <v>0</v>
      </c>
      <c r="Y91" s="99">
        <f t="shared" si="14"/>
        <v>0</v>
      </c>
      <c r="Z91" s="99"/>
      <c r="AA91" s="99">
        <f t="shared" si="14"/>
        <v>0</v>
      </c>
      <c r="AB91" s="99">
        <f t="shared" si="14"/>
        <v>0</v>
      </c>
      <c r="AC91" s="99">
        <f t="shared" si="14"/>
        <v>0</v>
      </c>
      <c r="AD91" s="99">
        <f t="shared" si="14"/>
        <v>0</v>
      </c>
      <c r="AE91" s="99">
        <f t="shared" si="14"/>
        <v>0</v>
      </c>
      <c r="AF91" s="99">
        <f t="shared" si="14"/>
        <v>0</v>
      </c>
      <c r="AG91" s="99">
        <f t="shared" si="14"/>
        <v>0</v>
      </c>
      <c r="AH91" s="99">
        <f t="shared" si="14"/>
        <v>0</v>
      </c>
      <c r="AI91" s="99">
        <f t="shared" si="14"/>
        <v>0</v>
      </c>
      <c r="AJ91" s="99">
        <f t="shared" si="14"/>
        <v>0</v>
      </c>
      <c r="AK91" s="99">
        <f t="shared" si="14"/>
        <v>0</v>
      </c>
      <c r="AL91" s="99">
        <f t="shared" si="14"/>
        <v>0</v>
      </c>
      <c r="AM91" s="99">
        <f t="shared" si="14"/>
        <v>0</v>
      </c>
      <c r="AN91" s="99">
        <f t="shared" si="14"/>
        <v>0</v>
      </c>
      <c r="AO91" s="99">
        <f t="shared" si="14"/>
        <v>0</v>
      </c>
      <c r="AP91" s="99">
        <f t="shared" si="14"/>
        <v>0</v>
      </c>
      <c r="AQ91" s="99">
        <f t="shared" si="14"/>
        <v>0</v>
      </c>
      <c r="AR91" s="99">
        <f t="shared" si="14"/>
        <v>0</v>
      </c>
      <c r="AS91" s="99">
        <f t="shared" si="14"/>
        <v>0</v>
      </c>
      <c r="AT91" s="99">
        <f t="shared" si="14"/>
        <v>0</v>
      </c>
      <c r="AU91" s="99">
        <f t="shared" si="14"/>
        <v>0</v>
      </c>
      <c r="AV91" s="99">
        <f t="shared" si="14"/>
        <v>0</v>
      </c>
      <c r="AW91" s="99">
        <f t="shared" si="14"/>
        <v>0</v>
      </c>
      <c r="AY91" s="99">
        <f t="shared" si="14"/>
        <v>0</v>
      </c>
      <c r="AZ91" s="99">
        <f t="shared" si="14"/>
        <v>0</v>
      </c>
      <c r="BA91" s="99">
        <f t="shared" si="14"/>
        <v>0</v>
      </c>
      <c r="BB91" s="99">
        <f t="shared" si="14"/>
        <v>0</v>
      </c>
      <c r="BC91" s="99">
        <f t="shared" si="14"/>
        <v>0</v>
      </c>
      <c r="BD91" s="99">
        <f t="shared" si="14"/>
        <v>0</v>
      </c>
      <c r="BE91" s="99">
        <f t="shared" si="14"/>
        <v>0</v>
      </c>
      <c r="BF91" s="99">
        <f t="shared" si="14"/>
        <v>0</v>
      </c>
      <c r="BG91" s="99">
        <f t="shared" si="14"/>
        <v>0</v>
      </c>
      <c r="BH91" s="99">
        <f t="shared" si="14"/>
        <v>0</v>
      </c>
      <c r="BI91" s="99">
        <f t="shared" si="14"/>
        <v>0</v>
      </c>
      <c r="BJ91" s="99">
        <f t="shared" si="14"/>
        <v>0</v>
      </c>
      <c r="BK91" s="99">
        <f t="shared" si="14"/>
        <v>0</v>
      </c>
      <c r="BL91" s="99">
        <f t="shared" si="14"/>
        <v>0</v>
      </c>
      <c r="BM91" s="99">
        <f t="shared" si="14"/>
        <v>0</v>
      </c>
      <c r="BN91" s="99">
        <f t="shared" si="14"/>
        <v>0</v>
      </c>
      <c r="BO91" s="99">
        <f t="shared" si="14"/>
        <v>0</v>
      </c>
      <c r="BP91" s="99">
        <f t="shared" si="14"/>
        <v>0</v>
      </c>
      <c r="BQ91" s="99">
        <f>SUM(BQ76:BQ89)-SUM(BQ6:BQ69)</f>
        <v>0</v>
      </c>
      <c r="BR91" s="99">
        <f>SUM(BR76:BR89)-SUM(BR6:BR69)</f>
        <v>0</v>
      </c>
      <c r="BS91" s="99">
        <f>SUM(BS76:BS89)-SUM(BS6:BS69)</f>
        <v>0</v>
      </c>
      <c r="BT91" s="99">
        <f>SUM(BT76:BT89)-SUM(BT6:BT69)</f>
        <v>0</v>
      </c>
      <c r="BU91" s="99">
        <f>SUM(BU76:BU89)-SUM(BU6:BU69)</f>
        <v>0</v>
      </c>
    </row>
    <row r="94" spans="1:73" ht="26.25" x14ac:dyDescent="0.25">
      <c r="B94" s="55"/>
      <c r="C94" s="55"/>
      <c r="D94" s="77">
        <v>2024</v>
      </c>
      <c r="E94" s="77">
        <v>2025</v>
      </c>
      <c r="F94" s="77">
        <v>2026</v>
      </c>
      <c r="G94" s="77">
        <v>2027</v>
      </c>
      <c r="H94" s="77">
        <v>2028</v>
      </c>
      <c r="I94" s="77">
        <v>2029</v>
      </c>
      <c r="J94" s="77">
        <v>2030</v>
      </c>
      <c r="K94" s="77">
        <v>2031</v>
      </c>
      <c r="L94" s="77">
        <v>2032</v>
      </c>
      <c r="M94" s="77">
        <v>2033</v>
      </c>
      <c r="N94" s="77">
        <v>2034</v>
      </c>
      <c r="O94" s="77">
        <v>2035</v>
      </c>
      <c r="P94" s="77">
        <v>2036</v>
      </c>
      <c r="Q94" s="77">
        <v>2037</v>
      </c>
      <c r="R94" s="77">
        <v>2038</v>
      </c>
      <c r="S94" s="77">
        <v>2039</v>
      </c>
      <c r="T94" s="77">
        <v>2040</v>
      </c>
      <c r="U94" s="77">
        <v>2041</v>
      </c>
      <c r="V94" s="77">
        <v>2042</v>
      </c>
      <c r="W94" s="77">
        <v>2043</v>
      </c>
      <c r="X94" s="77">
        <v>2044</v>
      </c>
      <c r="Y94" s="77">
        <v>2045</v>
      </c>
      <c r="Z94" s="80"/>
      <c r="AA94" s="77" t="s">
        <v>166</v>
      </c>
      <c r="AB94" s="77" t="s">
        <v>167</v>
      </c>
    </row>
    <row r="95" spans="1:73" x14ac:dyDescent="0.25">
      <c r="B95" s="101" t="s">
        <v>9</v>
      </c>
      <c r="C95" s="100"/>
      <c r="D95" s="100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AA95" s="100"/>
      <c r="AB95" s="100"/>
    </row>
    <row r="96" spans="1:73" x14ac:dyDescent="0.25">
      <c r="B96" s="100" t="s">
        <v>159</v>
      </c>
      <c r="C96" s="100"/>
      <c r="D96" s="107">
        <f>D76+AZ76*$C$1</f>
        <v>0</v>
      </c>
      <c r="E96" s="107">
        <f>E76+BA76*$C$1</f>
        <v>6.8</v>
      </c>
      <c r="F96" s="107">
        <f t="shared" ref="F96:Y96" si="15">F76+BB76*$C$1</f>
        <v>0</v>
      </c>
      <c r="G96" s="107">
        <f t="shared" si="15"/>
        <v>0</v>
      </c>
      <c r="H96" s="107">
        <f t="shared" si="15"/>
        <v>0</v>
      </c>
      <c r="I96" s="107">
        <f t="shared" si="15"/>
        <v>0</v>
      </c>
      <c r="J96" s="107">
        <f t="shared" si="15"/>
        <v>0</v>
      </c>
      <c r="K96" s="107">
        <f t="shared" si="15"/>
        <v>0</v>
      </c>
      <c r="L96" s="107">
        <f t="shared" si="15"/>
        <v>0</v>
      </c>
      <c r="M96" s="107">
        <f t="shared" si="15"/>
        <v>0</v>
      </c>
      <c r="N96" s="107">
        <f t="shared" si="15"/>
        <v>0</v>
      </c>
      <c r="O96" s="107">
        <f t="shared" si="15"/>
        <v>0</v>
      </c>
      <c r="P96" s="107">
        <f t="shared" si="15"/>
        <v>0</v>
      </c>
      <c r="Q96" s="107">
        <f t="shared" si="15"/>
        <v>0</v>
      </c>
      <c r="R96" s="107">
        <f t="shared" si="15"/>
        <v>0</v>
      </c>
      <c r="S96" s="107">
        <f t="shared" si="15"/>
        <v>0</v>
      </c>
      <c r="T96" s="107">
        <f t="shared" si="15"/>
        <v>0</v>
      </c>
      <c r="U96" s="107">
        <f t="shared" si="15"/>
        <v>0</v>
      </c>
      <c r="V96" s="107">
        <f t="shared" si="15"/>
        <v>0</v>
      </c>
      <c r="W96" s="107">
        <f t="shared" si="15"/>
        <v>0</v>
      </c>
      <c r="X96" s="107">
        <f t="shared" si="15"/>
        <v>0</v>
      </c>
      <c r="Y96" s="107">
        <f t="shared" si="15"/>
        <v>0</v>
      </c>
      <c r="AA96" s="104">
        <f t="shared" ref="AA96:AA108" si="16">SUM(D96:M96)</f>
        <v>6.8</v>
      </c>
      <c r="AB96" s="104">
        <f t="shared" ref="AB96:AB108" si="17">SUM(N96:Y96)</f>
        <v>0</v>
      </c>
    </row>
    <row r="97" spans="2:28" x14ac:dyDescent="0.25">
      <c r="B97" s="100" t="s">
        <v>154</v>
      </c>
      <c r="C97" s="100"/>
      <c r="D97" s="107">
        <f t="shared" ref="D97:Y97" si="18">D77+AZ77*$C$1</f>
        <v>0</v>
      </c>
      <c r="E97" s="107">
        <f t="shared" si="18"/>
        <v>0</v>
      </c>
      <c r="F97" s="107">
        <f t="shared" si="18"/>
        <v>0</v>
      </c>
      <c r="G97" s="107">
        <f t="shared" si="18"/>
        <v>0</v>
      </c>
      <c r="H97" s="107">
        <f t="shared" si="18"/>
        <v>0</v>
      </c>
      <c r="I97" s="107">
        <f t="shared" si="18"/>
        <v>0</v>
      </c>
      <c r="J97" s="107">
        <f t="shared" si="18"/>
        <v>0</v>
      </c>
      <c r="K97" s="107">
        <f t="shared" si="18"/>
        <v>0</v>
      </c>
      <c r="L97" s="107">
        <f t="shared" si="18"/>
        <v>0</v>
      </c>
      <c r="M97" s="107">
        <f t="shared" si="18"/>
        <v>0</v>
      </c>
      <c r="N97" s="107">
        <f t="shared" si="18"/>
        <v>0</v>
      </c>
      <c r="O97" s="107">
        <f t="shared" si="18"/>
        <v>0</v>
      </c>
      <c r="P97" s="107">
        <f t="shared" si="18"/>
        <v>0</v>
      </c>
      <c r="Q97" s="107">
        <f t="shared" si="18"/>
        <v>0</v>
      </c>
      <c r="R97" s="107">
        <f t="shared" si="18"/>
        <v>0</v>
      </c>
      <c r="S97" s="107">
        <f t="shared" si="18"/>
        <v>0</v>
      </c>
      <c r="T97" s="107">
        <f t="shared" si="18"/>
        <v>0</v>
      </c>
      <c r="U97" s="107">
        <f t="shared" si="18"/>
        <v>0</v>
      </c>
      <c r="V97" s="107">
        <f t="shared" si="18"/>
        <v>0</v>
      </c>
      <c r="W97" s="107">
        <f t="shared" si="18"/>
        <v>0</v>
      </c>
      <c r="X97" s="107">
        <f t="shared" si="18"/>
        <v>0</v>
      </c>
      <c r="Y97" s="107">
        <f t="shared" si="18"/>
        <v>0</v>
      </c>
      <c r="AA97" s="104">
        <f t="shared" si="16"/>
        <v>0</v>
      </c>
      <c r="AB97" s="104">
        <f t="shared" si="17"/>
        <v>0</v>
      </c>
    </row>
    <row r="98" spans="2:28" x14ac:dyDescent="0.25">
      <c r="B98" s="100" t="s">
        <v>164</v>
      </c>
      <c r="C98" s="100"/>
      <c r="D98" s="107">
        <f t="shared" ref="D98:Y98" si="19">D78+AZ78*$C$1</f>
        <v>0</v>
      </c>
      <c r="E98" s="107">
        <f t="shared" si="19"/>
        <v>0</v>
      </c>
      <c r="F98" s="107">
        <f t="shared" si="19"/>
        <v>0</v>
      </c>
      <c r="G98" s="107">
        <f t="shared" si="19"/>
        <v>0</v>
      </c>
      <c r="H98" s="107">
        <f t="shared" si="19"/>
        <v>0</v>
      </c>
      <c r="I98" s="107">
        <f t="shared" si="19"/>
        <v>0</v>
      </c>
      <c r="J98" s="107">
        <f t="shared" si="19"/>
        <v>0</v>
      </c>
      <c r="K98" s="107">
        <f t="shared" si="19"/>
        <v>0</v>
      </c>
      <c r="L98" s="107">
        <f t="shared" si="19"/>
        <v>0</v>
      </c>
      <c r="M98" s="107">
        <f t="shared" si="19"/>
        <v>0</v>
      </c>
      <c r="N98" s="107">
        <f t="shared" si="19"/>
        <v>0</v>
      </c>
      <c r="O98" s="107">
        <f t="shared" si="19"/>
        <v>0</v>
      </c>
      <c r="P98" s="107">
        <f t="shared" si="19"/>
        <v>0</v>
      </c>
      <c r="Q98" s="107">
        <f t="shared" si="19"/>
        <v>0</v>
      </c>
      <c r="R98" s="107">
        <f t="shared" si="19"/>
        <v>0</v>
      </c>
      <c r="S98" s="107">
        <f t="shared" si="19"/>
        <v>0</v>
      </c>
      <c r="T98" s="107">
        <f t="shared" si="19"/>
        <v>0</v>
      </c>
      <c r="U98" s="107">
        <f t="shared" si="19"/>
        <v>0</v>
      </c>
      <c r="V98" s="107">
        <f t="shared" si="19"/>
        <v>0</v>
      </c>
      <c r="W98" s="107">
        <f t="shared" si="19"/>
        <v>0</v>
      </c>
      <c r="X98" s="107">
        <f t="shared" si="19"/>
        <v>0</v>
      </c>
      <c r="Y98" s="107">
        <f t="shared" si="19"/>
        <v>0</v>
      </c>
      <c r="AA98" s="104">
        <f t="shared" si="16"/>
        <v>0</v>
      </c>
      <c r="AB98" s="104">
        <f t="shared" si="17"/>
        <v>0</v>
      </c>
    </row>
    <row r="99" spans="2:28" x14ac:dyDescent="0.25">
      <c r="B99" s="100" t="s">
        <v>155</v>
      </c>
      <c r="C99" s="100"/>
      <c r="D99" s="107">
        <f t="shared" ref="D99:Y99" si="20">D79+AZ79*$C$1</f>
        <v>0</v>
      </c>
      <c r="E99" s="107">
        <f t="shared" si="20"/>
        <v>0</v>
      </c>
      <c r="F99" s="107">
        <f t="shared" si="20"/>
        <v>0</v>
      </c>
      <c r="G99" s="107">
        <f t="shared" si="20"/>
        <v>0</v>
      </c>
      <c r="H99" s="107">
        <f t="shared" si="20"/>
        <v>0</v>
      </c>
      <c r="I99" s="107">
        <f t="shared" si="20"/>
        <v>0</v>
      </c>
      <c r="J99" s="107">
        <f t="shared" si="20"/>
        <v>0</v>
      </c>
      <c r="K99" s="107">
        <f t="shared" si="20"/>
        <v>0</v>
      </c>
      <c r="L99" s="107">
        <f t="shared" si="20"/>
        <v>0</v>
      </c>
      <c r="M99" s="107">
        <f t="shared" si="20"/>
        <v>0</v>
      </c>
      <c r="N99" s="107">
        <f t="shared" si="20"/>
        <v>0</v>
      </c>
      <c r="O99" s="107">
        <f t="shared" si="20"/>
        <v>0</v>
      </c>
      <c r="P99" s="107">
        <f t="shared" si="20"/>
        <v>0</v>
      </c>
      <c r="Q99" s="107">
        <f t="shared" si="20"/>
        <v>0</v>
      </c>
      <c r="R99" s="107">
        <f t="shared" si="20"/>
        <v>0</v>
      </c>
      <c r="S99" s="107">
        <f t="shared" si="20"/>
        <v>0</v>
      </c>
      <c r="T99" s="107">
        <f t="shared" si="20"/>
        <v>0</v>
      </c>
      <c r="U99" s="107">
        <f t="shared" si="20"/>
        <v>0</v>
      </c>
      <c r="V99" s="107">
        <f t="shared" si="20"/>
        <v>0</v>
      </c>
      <c r="W99" s="107">
        <f t="shared" si="20"/>
        <v>0</v>
      </c>
      <c r="X99" s="107">
        <f t="shared" si="20"/>
        <v>0</v>
      </c>
      <c r="Y99" s="107">
        <f t="shared" si="20"/>
        <v>0</v>
      </c>
      <c r="AA99" s="104">
        <f t="shared" si="16"/>
        <v>0</v>
      </c>
      <c r="AB99" s="104">
        <f t="shared" si="17"/>
        <v>0</v>
      </c>
    </row>
    <row r="100" spans="2:28" x14ac:dyDescent="0.25">
      <c r="B100" s="100" t="s">
        <v>157</v>
      </c>
      <c r="C100" s="100"/>
      <c r="D100" s="107">
        <f t="shared" ref="D100:Y100" si="21">D80+AZ80*$C$1</f>
        <v>0</v>
      </c>
      <c r="E100" s="107">
        <f t="shared" si="21"/>
        <v>0</v>
      </c>
      <c r="F100" s="107">
        <f t="shared" si="21"/>
        <v>0</v>
      </c>
      <c r="G100" s="107">
        <f t="shared" si="21"/>
        <v>0</v>
      </c>
      <c r="H100" s="107">
        <f t="shared" si="21"/>
        <v>0</v>
      </c>
      <c r="I100" s="107">
        <f t="shared" si="21"/>
        <v>0</v>
      </c>
      <c r="J100" s="107">
        <f t="shared" si="21"/>
        <v>200</v>
      </c>
      <c r="K100" s="107">
        <f t="shared" si="21"/>
        <v>0</v>
      </c>
      <c r="L100" s="107">
        <f t="shared" si="21"/>
        <v>0</v>
      </c>
      <c r="M100" s="107">
        <f t="shared" si="21"/>
        <v>0</v>
      </c>
      <c r="N100" s="107">
        <f t="shared" si="21"/>
        <v>0</v>
      </c>
      <c r="O100" s="107">
        <f t="shared" si="21"/>
        <v>0</v>
      </c>
      <c r="P100" s="107">
        <f t="shared" si="21"/>
        <v>0</v>
      </c>
      <c r="Q100" s="107">
        <f t="shared" si="21"/>
        <v>0</v>
      </c>
      <c r="R100" s="107">
        <f t="shared" si="21"/>
        <v>0</v>
      </c>
      <c r="S100" s="107">
        <f t="shared" si="21"/>
        <v>0</v>
      </c>
      <c r="T100" s="107">
        <f t="shared" si="21"/>
        <v>0</v>
      </c>
      <c r="U100" s="107">
        <f t="shared" si="21"/>
        <v>140</v>
      </c>
      <c r="V100" s="107">
        <f t="shared" si="21"/>
        <v>105</v>
      </c>
      <c r="W100" s="107">
        <f t="shared" si="21"/>
        <v>0</v>
      </c>
      <c r="X100" s="107">
        <f t="shared" si="21"/>
        <v>100</v>
      </c>
      <c r="Y100" s="107">
        <f t="shared" si="21"/>
        <v>199.7</v>
      </c>
      <c r="AA100" s="104">
        <f t="shared" si="16"/>
        <v>200</v>
      </c>
      <c r="AB100" s="104">
        <f t="shared" si="17"/>
        <v>544.70000000000005</v>
      </c>
    </row>
    <row r="101" spans="2:28" x14ac:dyDescent="0.25">
      <c r="B101" s="100" t="s">
        <v>156</v>
      </c>
      <c r="C101" s="100"/>
      <c r="D101" s="107">
        <f t="shared" ref="D101:Y101" si="22">D81+AZ81*$C$1</f>
        <v>0</v>
      </c>
      <c r="E101" s="107">
        <f t="shared" si="22"/>
        <v>0</v>
      </c>
      <c r="F101" s="107">
        <f t="shared" si="22"/>
        <v>0</v>
      </c>
      <c r="G101" s="107">
        <f t="shared" si="22"/>
        <v>0</v>
      </c>
      <c r="H101" s="107">
        <f t="shared" si="22"/>
        <v>0</v>
      </c>
      <c r="I101" s="107">
        <f t="shared" si="22"/>
        <v>0</v>
      </c>
      <c r="J101" s="107">
        <f t="shared" si="22"/>
        <v>0</v>
      </c>
      <c r="K101" s="107">
        <f t="shared" si="22"/>
        <v>0</v>
      </c>
      <c r="L101" s="107">
        <f t="shared" si="22"/>
        <v>200</v>
      </c>
      <c r="M101" s="107">
        <f t="shared" si="22"/>
        <v>0</v>
      </c>
      <c r="N101" s="107">
        <f t="shared" si="22"/>
        <v>0</v>
      </c>
      <c r="O101" s="107">
        <f t="shared" si="22"/>
        <v>0</v>
      </c>
      <c r="P101" s="107">
        <f t="shared" si="22"/>
        <v>0</v>
      </c>
      <c r="Q101" s="107">
        <f t="shared" si="22"/>
        <v>0</v>
      </c>
      <c r="R101" s="107">
        <f t="shared" si="22"/>
        <v>0</v>
      </c>
      <c r="S101" s="107">
        <f t="shared" si="22"/>
        <v>0</v>
      </c>
      <c r="T101" s="107">
        <f t="shared" si="22"/>
        <v>0</v>
      </c>
      <c r="U101" s="107">
        <f t="shared" si="22"/>
        <v>0</v>
      </c>
      <c r="V101" s="107">
        <f t="shared" si="22"/>
        <v>0</v>
      </c>
      <c r="W101" s="107">
        <f t="shared" si="22"/>
        <v>0</v>
      </c>
      <c r="X101" s="107">
        <f t="shared" si="22"/>
        <v>0</v>
      </c>
      <c r="Y101" s="107">
        <f t="shared" si="22"/>
        <v>0</v>
      </c>
      <c r="AA101" s="104">
        <f t="shared" si="16"/>
        <v>200</v>
      </c>
      <c r="AB101" s="104">
        <f t="shared" si="17"/>
        <v>0</v>
      </c>
    </row>
    <row r="102" spans="2:28" x14ac:dyDescent="0.25">
      <c r="B102" s="119" t="s">
        <v>158</v>
      </c>
      <c r="C102" s="100"/>
      <c r="D102" s="107">
        <f t="shared" ref="D102:Y102" si="23">D82+AZ82*$C$1</f>
        <v>0</v>
      </c>
      <c r="E102" s="107">
        <f t="shared" si="23"/>
        <v>0</v>
      </c>
      <c r="F102" s="107">
        <f t="shared" si="23"/>
        <v>0</v>
      </c>
      <c r="G102" s="107">
        <f t="shared" si="23"/>
        <v>0</v>
      </c>
      <c r="H102" s="107">
        <f t="shared" si="23"/>
        <v>0</v>
      </c>
      <c r="I102" s="107">
        <f t="shared" si="23"/>
        <v>0</v>
      </c>
      <c r="J102" s="107">
        <f t="shared" si="23"/>
        <v>0</v>
      </c>
      <c r="K102" s="107">
        <f t="shared" si="23"/>
        <v>0</v>
      </c>
      <c r="L102" s="107">
        <f t="shared" si="23"/>
        <v>0</v>
      </c>
      <c r="M102" s="107">
        <f t="shared" si="23"/>
        <v>0</v>
      </c>
      <c r="N102" s="107">
        <f t="shared" si="23"/>
        <v>0</v>
      </c>
      <c r="O102" s="107">
        <f t="shared" si="23"/>
        <v>0</v>
      </c>
      <c r="P102" s="107">
        <f t="shared" si="23"/>
        <v>0</v>
      </c>
      <c r="Q102" s="107">
        <f t="shared" si="23"/>
        <v>0</v>
      </c>
      <c r="R102" s="107">
        <f t="shared" si="23"/>
        <v>0</v>
      </c>
      <c r="S102" s="107">
        <f t="shared" si="23"/>
        <v>0</v>
      </c>
      <c r="T102" s="107">
        <f t="shared" si="23"/>
        <v>0</v>
      </c>
      <c r="U102" s="107">
        <f t="shared" si="23"/>
        <v>0</v>
      </c>
      <c r="V102" s="107">
        <f t="shared" si="23"/>
        <v>0</v>
      </c>
      <c r="W102" s="107">
        <f t="shared" si="23"/>
        <v>0</v>
      </c>
      <c r="X102" s="107">
        <f t="shared" si="23"/>
        <v>0</v>
      </c>
      <c r="Y102" s="107">
        <f t="shared" si="23"/>
        <v>0</v>
      </c>
      <c r="AA102" s="104">
        <f t="shared" si="16"/>
        <v>0</v>
      </c>
      <c r="AB102" s="104">
        <f t="shared" si="17"/>
        <v>0</v>
      </c>
    </row>
    <row r="103" spans="2:28" x14ac:dyDescent="0.25">
      <c r="B103" s="100" t="s">
        <v>180</v>
      </c>
      <c r="C103" s="100"/>
      <c r="D103" s="107">
        <f>D83+AZ84*$C$1</f>
        <v>0.66</v>
      </c>
      <c r="E103" s="107">
        <f t="shared" ref="E103:Y103" si="24">E83+BA84*$C$1</f>
        <v>0.69</v>
      </c>
      <c r="F103" s="107">
        <f t="shared" si="24"/>
        <v>0.72</v>
      </c>
      <c r="G103" s="107">
        <f t="shared" si="24"/>
        <v>0.74</v>
      </c>
      <c r="H103" s="107">
        <f t="shared" si="24"/>
        <v>0.78</v>
      </c>
      <c r="I103" s="107">
        <f t="shared" si="24"/>
        <v>0.8</v>
      </c>
      <c r="J103" s="107">
        <f t="shared" si="24"/>
        <v>0.83</v>
      </c>
      <c r="K103" s="107">
        <f t="shared" si="24"/>
        <v>0.86</v>
      </c>
      <c r="L103" s="107">
        <f t="shared" si="24"/>
        <v>0.9</v>
      </c>
      <c r="M103" s="107">
        <f t="shared" si="24"/>
        <v>0.93</v>
      </c>
      <c r="N103" s="107">
        <f t="shared" si="24"/>
        <v>0.1</v>
      </c>
      <c r="O103" s="107">
        <f t="shared" si="24"/>
        <v>0.2</v>
      </c>
      <c r="P103" s="107">
        <f t="shared" si="24"/>
        <v>0.2</v>
      </c>
      <c r="Q103" s="107">
        <f t="shared" si="24"/>
        <v>0.3</v>
      </c>
      <c r="R103" s="107">
        <f t="shared" si="24"/>
        <v>0</v>
      </c>
      <c r="S103" s="107">
        <f t="shared" si="24"/>
        <v>0.2</v>
      </c>
      <c r="T103" s="107">
        <f t="shared" si="24"/>
        <v>0.2</v>
      </c>
      <c r="U103" s="107">
        <f t="shared" si="24"/>
        <v>0</v>
      </c>
      <c r="V103" s="107">
        <f t="shared" si="24"/>
        <v>0.3</v>
      </c>
      <c r="W103" s="107">
        <f t="shared" si="24"/>
        <v>0</v>
      </c>
      <c r="X103" s="107">
        <f t="shared" si="24"/>
        <v>0.2</v>
      </c>
      <c r="Y103" s="107">
        <f t="shared" si="24"/>
        <v>0</v>
      </c>
      <c r="AA103" s="107">
        <f t="shared" si="16"/>
        <v>7.910000000000001</v>
      </c>
      <c r="AB103" s="107">
        <f t="shared" si="17"/>
        <v>1.7</v>
      </c>
    </row>
    <row r="104" spans="2:28" x14ac:dyDescent="0.25">
      <c r="B104" s="100" t="s">
        <v>181</v>
      </c>
      <c r="C104" s="100"/>
      <c r="D104" s="107">
        <f>D84+AZ85*$C$1</f>
        <v>0</v>
      </c>
      <c r="E104" s="107">
        <f t="shared" ref="E104:Y104" si="25">E84+BA85*$C$1</f>
        <v>0</v>
      </c>
      <c r="F104" s="107">
        <f t="shared" si="25"/>
        <v>0</v>
      </c>
      <c r="G104" s="107">
        <f t="shared" si="25"/>
        <v>0</v>
      </c>
      <c r="H104" s="107">
        <f t="shared" si="25"/>
        <v>0</v>
      </c>
      <c r="I104" s="107">
        <f t="shared" si="25"/>
        <v>0</v>
      </c>
      <c r="J104" s="107">
        <f t="shared" si="25"/>
        <v>0</v>
      </c>
      <c r="K104" s="107">
        <f t="shared" si="25"/>
        <v>0</v>
      </c>
      <c r="L104" s="107">
        <f t="shared" si="25"/>
        <v>0</v>
      </c>
      <c r="M104" s="107">
        <f t="shared" si="25"/>
        <v>0</v>
      </c>
      <c r="N104" s="107">
        <f t="shared" si="25"/>
        <v>0</v>
      </c>
      <c r="O104" s="107">
        <f t="shared" si="25"/>
        <v>0</v>
      </c>
      <c r="P104" s="107">
        <f t="shared" si="25"/>
        <v>0</v>
      </c>
      <c r="Q104" s="107">
        <f t="shared" si="25"/>
        <v>0</v>
      </c>
      <c r="R104" s="107">
        <f t="shared" si="25"/>
        <v>0</v>
      </c>
      <c r="S104" s="107">
        <f t="shared" si="25"/>
        <v>0.1</v>
      </c>
      <c r="T104" s="107">
        <f t="shared" si="25"/>
        <v>0.1</v>
      </c>
      <c r="U104" s="107">
        <f t="shared" si="25"/>
        <v>0</v>
      </c>
      <c r="V104" s="107">
        <f t="shared" si="25"/>
        <v>0</v>
      </c>
      <c r="W104" s="107">
        <f t="shared" si="25"/>
        <v>0</v>
      </c>
      <c r="X104" s="107">
        <f t="shared" si="25"/>
        <v>0.1</v>
      </c>
      <c r="Y104" s="107">
        <f t="shared" si="25"/>
        <v>0</v>
      </c>
      <c r="AA104" s="107">
        <f>SUM(D104:M104)</f>
        <v>0</v>
      </c>
      <c r="AB104" s="107">
        <f>SUM(N104:Y104)</f>
        <v>0.30000000000000004</v>
      </c>
    </row>
    <row r="105" spans="2:28" x14ac:dyDescent="0.25">
      <c r="B105" s="120" t="s">
        <v>160</v>
      </c>
      <c r="C105" s="100"/>
      <c r="D105" s="107">
        <f t="shared" ref="D105:Y105" si="26">D85+AZ85*$C$1</f>
        <v>0</v>
      </c>
      <c r="E105" s="107">
        <f t="shared" si="26"/>
        <v>0</v>
      </c>
      <c r="F105" s="107">
        <f t="shared" si="26"/>
        <v>0</v>
      </c>
      <c r="G105" s="107">
        <f t="shared" si="26"/>
        <v>0</v>
      </c>
      <c r="H105" s="107">
        <f t="shared" si="26"/>
        <v>0</v>
      </c>
      <c r="I105" s="107">
        <f t="shared" si="26"/>
        <v>0</v>
      </c>
      <c r="J105" s="107">
        <f t="shared" si="26"/>
        <v>0</v>
      </c>
      <c r="K105" s="107">
        <f t="shared" si="26"/>
        <v>0</v>
      </c>
      <c r="L105" s="107">
        <f t="shared" si="26"/>
        <v>0</v>
      </c>
      <c r="M105" s="107">
        <f t="shared" si="26"/>
        <v>0</v>
      </c>
      <c r="N105" s="107">
        <f t="shared" si="26"/>
        <v>0</v>
      </c>
      <c r="O105" s="107">
        <f t="shared" si="26"/>
        <v>0</v>
      </c>
      <c r="P105" s="107">
        <f t="shared" si="26"/>
        <v>0</v>
      </c>
      <c r="Q105" s="107">
        <f t="shared" si="26"/>
        <v>0</v>
      </c>
      <c r="R105" s="107">
        <f t="shared" si="26"/>
        <v>0</v>
      </c>
      <c r="S105" s="107">
        <f t="shared" si="26"/>
        <v>0</v>
      </c>
      <c r="T105" s="107">
        <f t="shared" si="26"/>
        <v>0</v>
      </c>
      <c r="U105" s="107">
        <f t="shared" si="26"/>
        <v>0</v>
      </c>
      <c r="V105" s="107">
        <f t="shared" si="26"/>
        <v>0</v>
      </c>
      <c r="W105" s="107">
        <f t="shared" si="26"/>
        <v>0</v>
      </c>
      <c r="X105" s="107">
        <f t="shared" si="26"/>
        <v>0</v>
      </c>
      <c r="Y105" s="107">
        <f t="shared" si="26"/>
        <v>0</v>
      </c>
      <c r="AA105" s="104">
        <f t="shared" si="16"/>
        <v>0</v>
      </c>
      <c r="AB105" s="104">
        <f t="shared" si="17"/>
        <v>0</v>
      </c>
    </row>
    <row r="106" spans="2:28" x14ac:dyDescent="0.25">
      <c r="B106" s="100" t="s">
        <v>161</v>
      </c>
      <c r="C106" s="100"/>
      <c r="D106" s="107">
        <f t="shared" ref="D106:Y106" si="27">D86+AZ86*$C$1</f>
        <v>0</v>
      </c>
      <c r="E106" s="107">
        <f t="shared" si="27"/>
        <v>0</v>
      </c>
      <c r="F106" s="107">
        <f t="shared" si="27"/>
        <v>0</v>
      </c>
      <c r="G106" s="107">
        <f t="shared" si="27"/>
        <v>0</v>
      </c>
      <c r="H106" s="107">
        <f t="shared" si="27"/>
        <v>0</v>
      </c>
      <c r="I106" s="107">
        <f t="shared" si="27"/>
        <v>0</v>
      </c>
      <c r="J106" s="107">
        <f t="shared" si="27"/>
        <v>0</v>
      </c>
      <c r="K106" s="107">
        <f t="shared" si="27"/>
        <v>0</v>
      </c>
      <c r="L106" s="107">
        <f t="shared" si="27"/>
        <v>0</v>
      </c>
      <c r="M106" s="107">
        <f t="shared" si="27"/>
        <v>0</v>
      </c>
      <c r="N106" s="107">
        <f t="shared" si="27"/>
        <v>0</v>
      </c>
      <c r="O106" s="107">
        <f t="shared" si="27"/>
        <v>0</v>
      </c>
      <c r="P106" s="107">
        <f t="shared" si="27"/>
        <v>0</v>
      </c>
      <c r="Q106" s="107">
        <f t="shared" si="27"/>
        <v>0</v>
      </c>
      <c r="R106" s="107">
        <f t="shared" si="27"/>
        <v>0.5</v>
      </c>
      <c r="S106" s="107">
        <f t="shared" si="27"/>
        <v>0</v>
      </c>
      <c r="T106" s="107">
        <f t="shared" si="27"/>
        <v>0</v>
      </c>
      <c r="U106" s="107">
        <f t="shared" si="27"/>
        <v>0.5</v>
      </c>
      <c r="V106" s="107">
        <f t="shared" si="27"/>
        <v>0</v>
      </c>
      <c r="W106" s="107">
        <f t="shared" si="27"/>
        <v>0.5</v>
      </c>
      <c r="X106" s="107">
        <f t="shared" si="27"/>
        <v>0</v>
      </c>
      <c r="Y106" s="107">
        <f t="shared" si="27"/>
        <v>0.5</v>
      </c>
      <c r="AA106" s="104">
        <f t="shared" si="16"/>
        <v>0</v>
      </c>
      <c r="AB106" s="104">
        <f t="shared" si="17"/>
        <v>2</v>
      </c>
    </row>
    <row r="107" spans="2:28" x14ac:dyDescent="0.25">
      <c r="B107" s="100" t="s">
        <v>162</v>
      </c>
      <c r="C107" s="100"/>
      <c r="D107" s="107">
        <f t="shared" ref="D107:Y107" si="28">D87+AZ87*$C$1</f>
        <v>0</v>
      </c>
      <c r="E107" s="107">
        <f t="shared" si="28"/>
        <v>0</v>
      </c>
      <c r="F107" s="107">
        <f t="shared" si="28"/>
        <v>0</v>
      </c>
      <c r="G107" s="107">
        <f t="shared" si="28"/>
        <v>0</v>
      </c>
      <c r="H107" s="107">
        <f t="shared" si="28"/>
        <v>0</v>
      </c>
      <c r="I107" s="107">
        <f t="shared" si="28"/>
        <v>0</v>
      </c>
      <c r="J107" s="107">
        <f t="shared" si="28"/>
        <v>0</v>
      </c>
      <c r="K107" s="107">
        <f t="shared" si="28"/>
        <v>0</v>
      </c>
      <c r="L107" s="107">
        <f t="shared" si="28"/>
        <v>0</v>
      </c>
      <c r="M107" s="107">
        <f t="shared" si="28"/>
        <v>0</v>
      </c>
      <c r="N107" s="107">
        <f t="shared" si="28"/>
        <v>0</v>
      </c>
      <c r="O107" s="107">
        <f t="shared" si="28"/>
        <v>0</v>
      </c>
      <c r="P107" s="107">
        <f t="shared" si="28"/>
        <v>0</v>
      </c>
      <c r="Q107" s="107">
        <f t="shared" si="28"/>
        <v>0</v>
      </c>
      <c r="R107" s="107">
        <f t="shared" si="28"/>
        <v>0</v>
      </c>
      <c r="S107" s="107">
        <f t="shared" si="28"/>
        <v>0</v>
      </c>
      <c r="T107" s="107">
        <f t="shared" si="28"/>
        <v>0</v>
      </c>
      <c r="U107" s="107">
        <f t="shared" si="28"/>
        <v>0</v>
      </c>
      <c r="V107" s="107">
        <f t="shared" si="28"/>
        <v>0</v>
      </c>
      <c r="W107" s="107">
        <f t="shared" si="28"/>
        <v>0</v>
      </c>
      <c r="X107" s="107">
        <f t="shared" si="28"/>
        <v>0</v>
      </c>
      <c r="Y107" s="107">
        <f t="shared" si="28"/>
        <v>0</v>
      </c>
      <c r="AA107" s="104">
        <f t="shared" si="16"/>
        <v>0</v>
      </c>
      <c r="AB107" s="104">
        <f t="shared" si="17"/>
        <v>0</v>
      </c>
    </row>
    <row r="108" spans="2:28" x14ac:dyDescent="0.25">
      <c r="B108" s="100" t="s">
        <v>163</v>
      </c>
      <c r="C108" s="100"/>
      <c r="D108" s="107">
        <f>D88+AZ88*$C$1</f>
        <v>0</v>
      </c>
      <c r="E108" s="107">
        <f t="shared" ref="E108:Y108" si="29">E88+BA88*$C$1</f>
        <v>0</v>
      </c>
      <c r="F108" s="107">
        <f t="shared" si="29"/>
        <v>0</v>
      </c>
      <c r="G108" s="107">
        <f t="shared" si="29"/>
        <v>0</v>
      </c>
      <c r="H108" s="107">
        <f t="shared" si="29"/>
        <v>0</v>
      </c>
      <c r="I108" s="107">
        <f t="shared" si="29"/>
        <v>0</v>
      </c>
      <c r="J108" s="107">
        <f t="shared" si="29"/>
        <v>0</v>
      </c>
      <c r="K108" s="107">
        <f t="shared" si="29"/>
        <v>0</v>
      </c>
      <c r="L108" s="107">
        <f t="shared" si="29"/>
        <v>0</v>
      </c>
      <c r="M108" s="107">
        <f t="shared" si="29"/>
        <v>0</v>
      </c>
      <c r="N108" s="107">
        <f t="shared" si="29"/>
        <v>0</v>
      </c>
      <c r="O108" s="107">
        <f t="shared" si="29"/>
        <v>0</v>
      </c>
      <c r="P108" s="107">
        <f t="shared" si="29"/>
        <v>0</v>
      </c>
      <c r="Q108" s="107">
        <f t="shared" si="29"/>
        <v>0</v>
      </c>
      <c r="R108" s="107">
        <f t="shared" si="29"/>
        <v>0</v>
      </c>
      <c r="S108" s="107">
        <f t="shared" si="29"/>
        <v>52.1</v>
      </c>
      <c r="T108" s="107">
        <f t="shared" si="29"/>
        <v>0</v>
      </c>
      <c r="U108" s="107">
        <f t="shared" si="29"/>
        <v>0</v>
      </c>
      <c r="V108" s="107">
        <f t="shared" si="29"/>
        <v>0</v>
      </c>
      <c r="W108" s="107">
        <f t="shared" si="29"/>
        <v>44.641999999999996</v>
      </c>
      <c r="X108" s="107">
        <f t="shared" si="29"/>
        <v>32.824999999999996</v>
      </c>
      <c r="Y108" s="107">
        <f t="shared" si="29"/>
        <v>0</v>
      </c>
      <c r="AA108" s="104">
        <f t="shared" si="16"/>
        <v>0</v>
      </c>
      <c r="AB108" s="104">
        <f t="shared" si="17"/>
        <v>129.56699999999998</v>
      </c>
    </row>
    <row r="109" spans="2:28" x14ac:dyDescent="0.25">
      <c r="B109" s="100" t="s">
        <v>182</v>
      </c>
      <c r="C109" s="100"/>
      <c r="D109" s="107">
        <f>D89+AZ89*$C$1</f>
        <v>0</v>
      </c>
      <c r="E109" s="107">
        <f t="shared" ref="E109:Y109" si="30">E89+BA89*$C$1</f>
        <v>0</v>
      </c>
      <c r="F109" s="107">
        <f t="shared" si="30"/>
        <v>0</v>
      </c>
      <c r="G109" s="107">
        <f t="shared" si="30"/>
        <v>0</v>
      </c>
      <c r="H109" s="107">
        <f t="shared" si="30"/>
        <v>0</v>
      </c>
      <c r="I109" s="107">
        <f t="shared" si="30"/>
        <v>0</v>
      </c>
      <c r="J109" s="107">
        <f t="shared" si="30"/>
        <v>0</v>
      </c>
      <c r="K109" s="107">
        <f t="shared" si="30"/>
        <v>0</v>
      </c>
      <c r="L109" s="107">
        <f t="shared" si="30"/>
        <v>0</v>
      </c>
      <c r="M109" s="107">
        <f t="shared" si="30"/>
        <v>0</v>
      </c>
      <c r="N109" s="107">
        <f t="shared" si="30"/>
        <v>0</v>
      </c>
      <c r="O109" s="107">
        <f t="shared" si="30"/>
        <v>0</v>
      </c>
      <c r="P109" s="107">
        <f t="shared" si="30"/>
        <v>88.3</v>
      </c>
      <c r="Q109" s="107">
        <f t="shared" si="30"/>
        <v>0</v>
      </c>
      <c r="R109" s="107">
        <f t="shared" si="30"/>
        <v>0</v>
      </c>
      <c r="S109" s="107">
        <f t="shared" si="30"/>
        <v>0</v>
      </c>
      <c r="T109" s="107">
        <f t="shared" si="30"/>
        <v>0</v>
      </c>
      <c r="U109" s="107">
        <f t="shared" si="30"/>
        <v>74</v>
      </c>
      <c r="V109" s="107">
        <f t="shared" si="30"/>
        <v>186.2</v>
      </c>
      <c r="W109" s="107">
        <f t="shared" si="30"/>
        <v>0</v>
      </c>
      <c r="X109" s="107">
        <f t="shared" si="30"/>
        <v>0</v>
      </c>
      <c r="Y109" s="107">
        <f t="shared" si="30"/>
        <v>348</v>
      </c>
      <c r="AA109" s="104">
        <f>SUM(D109:M109)</f>
        <v>0</v>
      </c>
      <c r="AB109" s="104">
        <f>SUM(N109:Y109)</f>
        <v>696.5</v>
      </c>
    </row>
    <row r="110" spans="2:28" x14ac:dyDescent="0.25">
      <c r="B110" s="103" t="s">
        <v>4</v>
      </c>
      <c r="C110" s="101"/>
      <c r="D110" s="108">
        <f>SUM(D96:D109)</f>
        <v>0.66</v>
      </c>
      <c r="E110" s="108">
        <f t="shared" ref="E110:Y110" si="31">SUM(E96:E109)</f>
        <v>7.49</v>
      </c>
      <c r="F110" s="108">
        <f t="shared" si="31"/>
        <v>0.72</v>
      </c>
      <c r="G110" s="108">
        <f t="shared" si="31"/>
        <v>0.74</v>
      </c>
      <c r="H110" s="108">
        <f t="shared" si="31"/>
        <v>0.78</v>
      </c>
      <c r="I110" s="108">
        <f t="shared" si="31"/>
        <v>0.8</v>
      </c>
      <c r="J110" s="108">
        <f t="shared" si="31"/>
        <v>200.83</v>
      </c>
      <c r="K110" s="108">
        <f t="shared" si="31"/>
        <v>0.86</v>
      </c>
      <c r="L110" s="108">
        <f t="shared" si="31"/>
        <v>200.9</v>
      </c>
      <c r="M110" s="108">
        <f t="shared" si="31"/>
        <v>0.93</v>
      </c>
      <c r="N110" s="108">
        <f t="shared" si="31"/>
        <v>0.1</v>
      </c>
      <c r="O110" s="108">
        <f t="shared" si="31"/>
        <v>0.2</v>
      </c>
      <c r="P110" s="108">
        <f t="shared" si="31"/>
        <v>88.5</v>
      </c>
      <c r="Q110" s="108">
        <f t="shared" si="31"/>
        <v>0.3</v>
      </c>
      <c r="R110" s="108">
        <f t="shared" si="31"/>
        <v>0.5</v>
      </c>
      <c r="S110" s="108">
        <f t="shared" si="31"/>
        <v>52.4</v>
      </c>
      <c r="T110" s="108">
        <f t="shared" si="31"/>
        <v>0.30000000000000004</v>
      </c>
      <c r="U110" s="108">
        <f t="shared" si="31"/>
        <v>214.5</v>
      </c>
      <c r="V110" s="108">
        <f t="shared" si="31"/>
        <v>291.5</v>
      </c>
      <c r="W110" s="108">
        <f t="shared" si="31"/>
        <v>45.141999999999996</v>
      </c>
      <c r="X110" s="108">
        <f t="shared" si="31"/>
        <v>133.125</v>
      </c>
      <c r="Y110" s="108">
        <f t="shared" si="31"/>
        <v>548.20000000000005</v>
      </c>
      <c r="AA110" s="108">
        <f>SUM(AA96:AA109)</f>
        <v>414.71000000000004</v>
      </c>
      <c r="AB110" s="108">
        <f>SUM(AB96:AB109)</f>
        <v>1374.7670000000001</v>
      </c>
    </row>
    <row r="111" spans="2:28" x14ac:dyDescent="0.25">
      <c r="B111" s="100"/>
      <c r="C111" s="100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AA111" s="105"/>
      <c r="AB111" s="105"/>
    </row>
    <row r="112" spans="2:28" x14ac:dyDescent="0.25">
      <c r="B112" s="101" t="s">
        <v>8</v>
      </c>
      <c r="C112" s="10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AA112" s="106"/>
      <c r="AB112" s="106"/>
    </row>
    <row r="113" spans="2:28" x14ac:dyDescent="0.25">
      <c r="B113" s="100" t="s">
        <v>159</v>
      </c>
      <c r="C113" s="100"/>
      <c r="D113" s="107">
        <f t="shared" ref="D113:M119" si="32">AB76+AZ76*$C$2</f>
        <v>0</v>
      </c>
      <c r="E113" s="107">
        <f t="shared" si="32"/>
        <v>0</v>
      </c>
      <c r="F113" s="107">
        <f t="shared" si="32"/>
        <v>0</v>
      </c>
      <c r="G113" s="107">
        <f t="shared" si="32"/>
        <v>0</v>
      </c>
      <c r="H113" s="107">
        <f t="shared" si="32"/>
        <v>0</v>
      </c>
      <c r="I113" s="107">
        <f t="shared" si="32"/>
        <v>0</v>
      </c>
      <c r="J113" s="107">
        <f t="shared" si="32"/>
        <v>0</v>
      </c>
      <c r="K113" s="107">
        <f t="shared" si="32"/>
        <v>0</v>
      </c>
      <c r="L113" s="107">
        <f t="shared" si="32"/>
        <v>0</v>
      </c>
      <c r="M113" s="107">
        <f t="shared" si="32"/>
        <v>0</v>
      </c>
      <c r="N113" s="107">
        <f t="shared" ref="N113:W119" si="33">AL76+BJ76*$C$2</f>
        <v>0</v>
      </c>
      <c r="O113" s="107">
        <f t="shared" si="33"/>
        <v>0</v>
      </c>
      <c r="P113" s="107">
        <f t="shared" si="33"/>
        <v>0</v>
      </c>
      <c r="Q113" s="107">
        <f t="shared" si="33"/>
        <v>0</v>
      </c>
      <c r="R113" s="107">
        <f t="shared" si="33"/>
        <v>0</v>
      </c>
      <c r="S113" s="107">
        <f t="shared" si="33"/>
        <v>0</v>
      </c>
      <c r="T113" s="107">
        <f t="shared" si="33"/>
        <v>0</v>
      </c>
      <c r="U113" s="107">
        <f t="shared" si="33"/>
        <v>0</v>
      </c>
      <c r="V113" s="107">
        <f t="shared" si="33"/>
        <v>0</v>
      </c>
      <c r="W113" s="107">
        <f t="shared" si="33"/>
        <v>0</v>
      </c>
      <c r="X113" s="107">
        <f t="shared" ref="X113:Y119" si="34">AV76+BT76*$C$2</f>
        <v>0</v>
      </c>
      <c r="Y113" s="107">
        <f t="shared" si="34"/>
        <v>0</v>
      </c>
      <c r="AA113" s="104">
        <f t="shared" ref="AA113:AA125" si="35">SUM(D113:M113)</f>
        <v>0</v>
      </c>
      <c r="AB113" s="104">
        <f t="shared" ref="AB113:AB125" si="36">SUM(N113:Y113)</f>
        <v>0</v>
      </c>
    </row>
    <row r="114" spans="2:28" x14ac:dyDescent="0.25">
      <c r="B114" s="100" t="s">
        <v>154</v>
      </c>
      <c r="C114" s="100"/>
      <c r="D114" s="107">
        <f t="shared" si="32"/>
        <v>0</v>
      </c>
      <c r="E114" s="107">
        <f t="shared" si="32"/>
        <v>0</v>
      </c>
      <c r="F114" s="107">
        <f t="shared" si="32"/>
        <v>0</v>
      </c>
      <c r="G114" s="107">
        <f t="shared" si="32"/>
        <v>0</v>
      </c>
      <c r="H114" s="107">
        <f t="shared" si="32"/>
        <v>0</v>
      </c>
      <c r="I114" s="107">
        <f t="shared" si="32"/>
        <v>0</v>
      </c>
      <c r="J114" s="107">
        <f t="shared" si="32"/>
        <v>0</v>
      </c>
      <c r="K114" s="107">
        <f t="shared" si="32"/>
        <v>0</v>
      </c>
      <c r="L114" s="107">
        <f t="shared" si="32"/>
        <v>0</v>
      </c>
      <c r="M114" s="107">
        <f t="shared" si="32"/>
        <v>0</v>
      </c>
      <c r="N114" s="107">
        <f t="shared" si="33"/>
        <v>90</v>
      </c>
      <c r="O114" s="107">
        <f t="shared" si="33"/>
        <v>0</v>
      </c>
      <c r="P114" s="107">
        <f t="shared" si="33"/>
        <v>0</v>
      </c>
      <c r="Q114" s="107">
        <f t="shared" si="33"/>
        <v>0</v>
      </c>
      <c r="R114" s="107">
        <f t="shared" si="33"/>
        <v>0</v>
      </c>
      <c r="S114" s="107">
        <f t="shared" si="33"/>
        <v>0</v>
      </c>
      <c r="T114" s="107">
        <f t="shared" si="33"/>
        <v>0</v>
      </c>
      <c r="U114" s="107">
        <f t="shared" si="33"/>
        <v>46</v>
      </c>
      <c r="V114" s="107">
        <f t="shared" si="33"/>
        <v>102</v>
      </c>
      <c r="W114" s="107">
        <f t="shared" si="33"/>
        <v>0</v>
      </c>
      <c r="X114" s="107">
        <f t="shared" si="34"/>
        <v>0</v>
      </c>
      <c r="Y114" s="107">
        <f t="shared" si="34"/>
        <v>65</v>
      </c>
      <c r="AA114" s="104">
        <f t="shared" si="35"/>
        <v>0</v>
      </c>
      <c r="AB114" s="104">
        <f t="shared" si="36"/>
        <v>303</v>
      </c>
    </row>
    <row r="115" spans="2:28" x14ac:dyDescent="0.25">
      <c r="B115" s="100" t="s">
        <v>164</v>
      </c>
      <c r="C115" s="100"/>
      <c r="D115" s="107">
        <f t="shared" si="32"/>
        <v>0</v>
      </c>
      <c r="E115" s="107">
        <f t="shared" si="32"/>
        <v>0</v>
      </c>
      <c r="F115" s="107">
        <f t="shared" si="32"/>
        <v>0</v>
      </c>
      <c r="G115" s="107">
        <f t="shared" si="32"/>
        <v>0</v>
      </c>
      <c r="H115" s="107">
        <f t="shared" si="32"/>
        <v>0</v>
      </c>
      <c r="I115" s="107">
        <f t="shared" si="32"/>
        <v>0</v>
      </c>
      <c r="J115" s="107">
        <f t="shared" si="32"/>
        <v>0</v>
      </c>
      <c r="K115" s="107">
        <f t="shared" si="32"/>
        <v>0</v>
      </c>
      <c r="L115" s="107">
        <f t="shared" si="32"/>
        <v>0</v>
      </c>
      <c r="M115" s="107">
        <f t="shared" si="32"/>
        <v>0</v>
      </c>
      <c r="N115" s="107">
        <f t="shared" si="33"/>
        <v>0</v>
      </c>
      <c r="O115" s="107">
        <f t="shared" si="33"/>
        <v>0</v>
      </c>
      <c r="P115" s="107">
        <f t="shared" si="33"/>
        <v>0</v>
      </c>
      <c r="Q115" s="107">
        <f t="shared" si="33"/>
        <v>0</v>
      </c>
      <c r="R115" s="107">
        <f t="shared" si="33"/>
        <v>0</v>
      </c>
      <c r="S115" s="107">
        <f t="shared" si="33"/>
        <v>0</v>
      </c>
      <c r="T115" s="107">
        <f t="shared" si="33"/>
        <v>0</v>
      </c>
      <c r="U115" s="107">
        <f t="shared" si="33"/>
        <v>0</v>
      </c>
      <c r="V115" s="107">
        <f t="shared" si="33"/>
        <v>0</v>
      </c>
      <c r="W115" s="107">
        <f t="shared" si="33"/>
        <v>0</v>
      </c>
      <c r="X115" s="107">
        <f t="shared" si="34"/>
        <v>0</v>
      </c>
      <c r="Y115" s="107">
        <f t="shared" si="34"/>
        <v>0</v>
      </c>
      <c r="AA115" s="104">
        <f t="shared" si="35"/>
        <v>0</v>
      </c>
      <c r="AB115" s="104">
        <f t="shared" si="36"/>
        <v>0</v>
      </c>
    </row>
    <row r="116" spans="2:28" x14ac:dyDescent="0.25">
      <c r="B116" s="100" t="s">
        <v>155</v>
      </c>
      <c r="C116" s="100"/>
      <c r="D116" s="107">
        <f t="shared" si="32"/>
        <v>0</v>
      </c>
      <c r="E116" s="107">
        <f t="shared" si="32"/>
        <v>0</v>
      </c>
      <c r="F116" s="107">
        <f t="shared" si="32"/>
        <v>0</v>
      </c>
      <c r="G116" s="107">
        <f t="shared" si="32"/>
        <v>0</v>
      </c>
      <c r="H116" s="107">
        <f t="shared" si="32"/>
        <v>0</v>
      </c>
      <c r="I116" s="107">
        <f t="shared" si="32"/>
        <v>0</v>
      </c>
      <c r="J116" s="107">
        <f t="shared" si="32"/>
        <v>0</v>
      </c>
      <c r="K116" s="107">
        <f t="shared" si="32"/>
        <v>0</v>
      </c>
      <c r="L116" s="107">
        <f t="shared" si="32"/>
        <v>0</v>
      </c>
      <c r="M116" s="107">
        <f t="shared" si="32"/>
        <v>0</v>
      </c>
      <c r="N116" s="107">
        <f t="shared" si="33"/>
        <v>0</v>
      </c>
      <c r="O116" s="107">
        <f t="shared" si="33"/>
        <v>0</v>
      </c>
      <c r="P116" s="107">
        <f t="shared" si="33"/>
        <v>0</v>
      </c>
      <c r="Q116" s="107">
        <f t="shared" si="33"/>
        <v>0</v>
      </c>
      <c r="R116" s="107">
        <f t="shared" si="33"/>
        <v>0</v>
      </c>
      <c r="S116" s="107">
        <f t="shared" si="33"/>
        <v>0</v>
      </c>
      <c r="T116" s="107">
        <f t="shared" si="33"/>
        <v>0</v>
      </c>
      <c r="U116" s="107">
        <f t="shared" si="33"/>
        <v>0</v>
      </c>
      <c r="V116" s="107">
        <f t="shared" si="33"/>
        <v>0</v>
      </c>
      <c r="W116" s="107">
        <f t="shared" si="33"/>
        <v>0</v>
      </c>
      <c r="X116" s="107">
        <f t="shared" si="34"/>
        <v>0</v>
      </c>
      <c r="Y116" s="107">
        <f t="shared" si="34"/>
        <v>0</v>
      </c>
      <c r="AA116" s="104">
        <f t="shared" si="35"/>
        <v>0</v>
      </c>
      <c r="AB116" s="104">
        <f t="shared" si="36"/>
        <v>0</v>
      </c>
    </row>
    <row r="117" spans="2:28" x14ac:dyDescent="0.25">
      <c r="B117" s="100" t="s">
        <v>157</v>
      </c>
      <c r="C117" s="100"/>
      <c r="D117" s="107">
        <f t="shared" si="32"/>
        <v>0</v>
      </c>
      <c r="E117" s="107">
        <f t="shared" si="32"/>
        <v>0</v>
      </c>
      <c r="F117" s="107">
        <f t="shared" si="32"/>
        <v>0</v>
      </c>
      <c r="G117" s="107">
        <f t="shared" si="32"/>
        <v>0</v>
      </c>
      <c r="H117" s="107">
        <f t="shared" si="32"/>
        <v>0</v>
      </c>
      <c r="I117" s="107">
        <f t="shared" si="32"/>
        <v>0</v>
      </c>
      <c r="J117" s="107">
        <f t="shared" si="32"/>
        <v>0</v>
      </c>
      <c r="K117" s="107">
        <f t="shared" si="32"/>
        <v>0</v>
      </c>
      <c r="L117" s="107">
        <f t="shared" si="32"/>
        <v>0</v>
      </c>
      <c r="M117" s="107">
        <f t="shared" si="32"/>
        <v>0</v>
      </c>
      <c r="N117" s="107">
        <f t="shared" si="33"/>
        <v>0</v>
      </c>
      <c r="O117" s="107">
        <f t="shared" si="33"/>
        <v>0</v>
      </c>
      <c r="P117" s="107">
        <f t="shared" si="33"/>
        <v>0</v>
      </c>
      <c r="Q117" s="107">
        <f t="shared" si="33"/>
        <v>0</v>
      </c>
      <c r="R117" s="107">
        <f t="shared" si="33"/>
        <v>0</v>
      </c>
      <c r="S117" s="107">
        <f t="shared" si="33"/>
        <v>0</v>
      </c>
      <c r="T117" s="107">
        <f t="shared" si="33"/>
        <v>0</v>
      </c>
      <c r="U117" s="107">
        <f t="shared" si="33"/>
        <v>0</v>
      </c>
      <c r="V117" s="107">
        <f t="shared" si="33"/>
        <v>0</v>
      </c>
      <c r="W117" s="107">
        <f t="shared" si="33"/>
        <v>0</v>
      </c>
      <c r="X117" s="107">
        <f t="shared" si="34"/>
        <v>0</v>
      </c>
      <c r="Y117" s="107">
        <f t="shared" si="34"/>
        <v>0</v>
      </c>
      <c r="AA117" s="104">
        <f t="shared" si="35"/>
        <v>0</v>
      </c>
      <c r="AB117" s="104">
        <f t="shared" si="36"/>
        <v>0</v>
      </c>
    </row>
    <row r="118" spans="2:28" x14ac:dyDescent="0.25">
      <c r="B118" s="100" t="s">
        <v>156</v>
      </c>
      <c r="C118" s="100"/>
      <c r="D118" s="107">
        <f t="shared" si="32"/>
        <v>0</v>
      </c>
      <c r="E118" s="107">
        <f t="shared" si="32"/>
        <v>0</v>
      </c>
      <c r="F118" s="107">
        <f t="shared" si="32"/>
        <v>0</v>
      </c>
      <c r="G118" s="107">
        <f t="shared" si="32"/>
        <v>0</v>
      </c>
      <c r="H118" s="107">
        <f t="shared" si="32"/>
        <v>0</v>
      </c>
      <c r="I118" s="107">
        <f t="shared" si="32"/>
        <v>0</v>
      </c>
      <c r="J118" s="107">
        <f t="shared" si="32"/>
        <v>0</v>
      </c>
      <c r="K118" s="107">
        <f t="shared" si="32"/>
        <v>0</v>
      </c>
      <c r="L118" s="107">
        <f t="shared" si="32"/>
        <v>0</v>
      </c>
      <c r="M118" s="107">
        <f t="shared" si="32"/>
        <v>0</v>
      </c>
      <c r="N118" s="107">
        <f t="shared" si="33"/>
        <v>0</v>
      </c>
      <c r="O118" s="107">
        <f t="shared" si="33"/>
        <v>0</v>
      </c>
      <c r="P118" s="107">
        <f t="shared" si="33"/>
        <v>0</v>
      </c>
      <c r="Q118" s="107">
        <f t="shared" si="33"/>
        <v>0</v>
      </c>
      <c r="R118" s="107">
        <f t="shared" si="33"/>
        <v>0</v>
      </c>
      <c r="S118" s="107">
        <f t="shared" si="33"/>
        <v>0</v>
      </c>
      <c r="T118" s="107">
        <f t="shared" si="33"/>
        <v>0</v>
      </c>
      <c r="U118" s="107">
        <f t="shared" si="33"/>
        <v>0</v>
      </c>
      <c r="V118" s="107">
        <f t="shared" si="33"/>
        <v>0</v>
      </c>
      <c r="W118" s="107">
        <f t="shared" si="33"/>
        <v>0</v>
      </c>
      <c r="X118" s="107">
        <f t="shared" si="34"/>
        <v>0</v>
      </c>
      <c r="Y118" s="107">
        <f t="shared" si="34"/>
        <v>0</v>
      </c>
      <c r="AA118" s="104">
        <f t="shared" si="35"/>
        <v>0</v>
      </c>
      <c r="AB118" s="104">
        <f t="shared" si="36"/>
        <v>0</v>
      </c>
    </row>
    <row r="119" spans="2:28" x14ac:dyDescent="0.25">
      <c r="B119" s="119" t="s">
        <v>158</v>
      </c>
      <c r="C119" s="100"/>
      <c r="D119" s="107">
        <f t="shared" si="32"/>
        <v>0</v>
      </c>
      <c r="E119" s="107">
        <f t="shared" si="32"/>
        <v>0</v>
      </c>
      <c r="F119" s="107">
        <f t="shared" si="32"/>
        <v>0</v>
      </c>
      <c r="G119" s="107">
        <f t="shared" si="32"/>
        <v>0</v>
      </c>
      <c r="H119" s="107">
        <f t="shared" si="32"/>
        <v>0</v>
      </c>
      <c r="I119" s="107">
        <f t="shared" si="32"/>
        <v>0</v>
      </c>
      <c r="J119" s="107">
        <f t="shared" si="32"/>
        <v>0</v>
      </c>
      <c r="K119" s="107">
        <f t="shared" si="32"/>
        <v>0</v>
      </c>
      <c r="L119" s="107">
        <f t="shared" si="32"/>
        <v>0</v>
      </c>
      <c r="M119" s="107">
        <f t="shared" si="32"/>
        <v>0</v>
      </c>
      <c r="N119" s="107">
        <f t="shared" si="33"/>
        <v>0</v>
      </c>
      <c r="O119" s="107">
        <f t="shared" si="33"/>
        <v>0</v>
      </c>
      <c r="P119" s="107">
        <f t="shared" si="33"/>
        <v>0</v>
      </c>
      <c r="Q119" s="107">
        <f t="shared" si="33"/>
        <v>0</v>
      </c>
      <c r="R119" s="107">
        <f t="shared" si="33"/>
        <v>0</v>
      </c>
      <c r="S119" s="107">
        <f t="shared" si="33"/>
        <v>0</v>
      </c>
      <c r="T119" s="107">
        <f t="shared" si="33"/>
        <v>0</v>
      </c>
      <c r="U119" s="107">
        <f t="shared" si="33"/>
        <v>0</v>
      </c>
      <c r="V119" s="107">
        <f t="shared" si="33"/>
        <v>0</v>
      </c>
      <c r="W119" s="107">
        <f t="shared" si="33"/>
        <v>0</v>
      </c>
      <c r="X119" s="107">
        <f t="shared" si="34"/>
        <v>0</v>
      </c>
      <c r="Y119" s="107">
        <f t="shared" si="34"/>
        <v>0</v>
      </c>
      <c r="AA119" s="104">
        <f t="shared" si="35"/>
        <v>0</v>
      </c>
      <c r="AB119" s="104">
        <f t="shared" si="36"/>
        <v>0</v>
      </c>
    </row>
    <row r="120" spans="2:28" x14ac:dyDescent="0.25">
      <c r="B120" s="100" t="s">
        <v>180</v>
      </c>
      <c r="C120" s="100"/>
      <c r="D120" s="107">
        <f>AB83+AZ84*$C$2</f>
        <v>0</v>
      </c>
      <c r="E120" s="107">
        <f t="shared" ref="E120:Y120" si="37">AC83+BA84*$C$2</f>
        <v>0</v>
      </c>
      <c r="F120" s="107">
        <f t="shared" si="37"/>
        <v>0</v>
      </c>
      <c r="G120" s="107">
        <f t="shared" si="37"/>
        <v>0</v>
      </c>
      <c r="H120" s="107">
        <f t="shared" si="37"/>
        <v>0</v>
      </c>
      <c r="I120" s="107">
        <f t="shared" si="37"/>
        <v>0</v>
      </c>
      <c r="J120" s="107">
        <f t="shared" si="37"/>
        <v>0</v>
      </c>
      <c r="K120" s="107">
        <f t="shared" si="37"/>
        <v>0</v>
      </c>
      <c r="L120" s="107">
        <f t="shared" si="37"/>
        <v>0</v>
      </c>
      <c r="M120" s="107">
        <f t="shared" si="37"/>
        <v>0</v>
      </c>
      <c r="N120" s="107">
        <f t="shared" si="37"/>
        <v>0</v>
      </c>
      <c r="O120" s="107">
        <f t="shared" si="37"/>
        <v>0</v>
      </c>
      <c r="P120" s="107">
        <f t="shared" si="37"/>
        <v>0</v>
      </c>
      <c r="Q120" s="107">
        <f t="shared" si="37"/>
        <v>0</v>
      </c>
      <c r="R120" s="107">
        <f t="shared" si="37"/>
        <v>0</v>
      </c>
      <c r="S120" s="107">
        <f t="shared" si="37"/>
        <v>0</v>
      </c>
      <c r="T120" s="107">
        <f t="shared" si="37"/>
        <v>0</v>
      </c>
      <c r="U120" s="107">
        <f t="shared" si="37"/>
        <v>0</v>
      </c>
      <c r="V120" s="107">
        <f t="shared" si="37"/>
        <v>0</v>
      </c>
      <c r="W120" s="107">
        <f t="shared" si="37"/>
        <v>0</v>
      </c>
      <c r="X120" s="107">
        <f t="shared" si="37"/>
        <v>0</v>
      </c>
      <c r="Y120" s="107">
        <f t="shared" si="37"/>
        <v>0</v>
      </c>
      <c r="AA120" s="104">
        <f t="shared" si="35"/>
        <v>0</v>
      </c>
      <c r="AB120" s="104">
        <f t="shared" si="36"/>
        <v>0</v>
      </c>
    </row>
    <row r="121" spans="2:28" x14ac:dyDescent="0.25">
      <c r="B121" s="100" t="s">
        <v>181</v>
      </c>
      <c r="C121" s="100"/>
      <c r="D121" s="107">
        <f>AB84+AZ85*$C$2</f>
        <v>0</v>
      </c>
      <c r="E121" s="107">
        <f t="shared" ref="E121:Y121" si="38">AC84+BA85*$C$2</f>
        <v>0</v>
      </c>
      <c r="F121" s="107">
        <f t="shared" si="38"/>
        <v>0</v>
      </c>
      <c r="G121" s="107">
        <f t="shared" si="38"/>
        <v>0</v>
      </c>
      <c r="H121" s="107">
        <f t="shared" si="38"/>
        <v>0</v>
      </c>
      <c r="I121" s="107">
        <f t="shared" si="38"/>
        <v>0</v>
      </c>
      <c r="J121" s="107">
        <f t="shared" si="38"/>
        <v>0</v>
      </c>
      <c r="K121" s="107">
        <f t="shared" si="38"/>
        <v>0</v>
      </c>
      <c r="L121" s="107">
        <f t="shared" si="38"/>
        <v>0</v>
      </c>
      <c r="M121" s="107">
        <f t="shared" si="38"/>
        <v>0</v>
      </c>
      <c r="N121" s="107">
        <f t="shared" si="38"/>
        <v>0</v>
      </c>
      <c r="O121" s="107">
        <f t="shared" si="38"/>
        <v>0</v>
      </c>
      <c r="P121" s="107">
        <f t="shared" si="38"/>
        <v>0</v>
      </c>
      <c r="Q121" s="107">
        <f t="shared" si="38"/>
        <v>0</v>
      </c>
      <c r="R121" s="107">
        <f t="shared" si="38"/>
        <v>0</v>
      </c>
      <c r="S121" s="107">
        <f t="shared" si="38"/>
        <v>0</v>
      </c>
      <c r="T121" s="107">
        <f t="shared" si="38"/>
        <v>0</v>
      </c>
      <c r="U121" s="107">
        <f t="shared" si="38"/>
        <v>0</v>
      </c>
      <c r="V121" s="107">
        <f t="shared" si="38"/>
        <v>0</v>
      </c>
      <c r="W121" s="107">
        <f t="shared" si="38"/>
        <v>0</v>
      </c>
      <c r="X121" s="107">
        <f t="shared" si="38"/>
        <v>0</v>
      </c>
      <c r="Y121" s="107">
        <f t="shared" si="38"/>
        <v>0</v>
      </c>
      <c r="AA121" s="104">
        <f>SUM(D121:M121)</f>
        <v>0</v>
      </c>
      <c r="AB121" s="104">
        <f>SUM(N121:Y121)</f>
        <v>0</v>
      </c>
    </row>
    <row r="122" spans="2:28" x14ac:dyDescent="0.25">
      <c r="B122" s="120" t="s">
        <v>160</v>
      </c>
      <c r="C122" s="100"/>
      <c r="D122" s="107">
        <f t="shared" ref="D122:M126" si="39">AB85+AZ85*$C$2</f>
        <v>0</v>
      </c>
      <c r="E122" s="107">
        <f t="shared" si="39"/>
        <v>0</v>
      </c>
      <c r="F122" s="107">
        <f t="shared" si="39"/>
        <v>0</v>
      </c>
      <c r="G122" s="107">
        <f t="shared" si="39"/>
        <v>0</v>
      </c>
      <c r="H122" s="107">
        <f t="shared" si="39"/>
        <v>0</v>
      </c>
      <c r="I122" s="107">
        <f t="shared" si="39"/>
        <v>0</v>
      </c>
      <c r="J122" s="107">
        <f t="shared" si="39"/>
        <v>0</v>
      </c>
      <c r="K122" s="107">
        <f t="shared" si="39"/>
        <v>0</v>
      </c>
      <c r="L122" s="107">
        <f t="shared" si="39"/>
        <v>0</v>
      </c>
      <c r="M122" s="107">
        <f t="shared" si="39"/>
        <v>0</v>
      </c>
      <c r="N122" s="107">
        <f t="shared" ref="N122:W126" si="40">AL85+BJ85*$C$2</f>
        <v>0</v>
      </c>
      <c r="O122" s="107">
        <f t="shared" si="40"/>
        <v>0</v>
      </c>
      <c r="P122" s="107">
        <f t="shared" si="40"/>
        <v>0</v>
      </c>
      <c r="Q122" s="107">
        <f t="shared" si="40"/>
        <v>0</v>
      </c>
      <c r="R122" s="107">
        <f t="shared" si="40"/>
        <v>0</v>
      </c>
      <c r="S122" s="107">
        <f t="shared" si="40"/>
        <v>0</v>
      </c>
      <c r="T122" s="107">
        <f t="shared" si="40"/>
        <v>0</v>
      </c>
      <c r="U122" s="107">
        <f t="shared" si="40"/>
        <v>0</v>
      </c>
      <c r="V122" s="107">
        <f t="shared" si="40"/>
        <v>0</v>
      </c>
      <c r="W122" s="107">
        <f t="shared" si="40"/>
        <v>0</v>
      </c>
      <c r="X122" s="107">
        <f t="shared" ref="X122:Y126" si="41">AV85+BT85*$C$2</f>
        <v>0</v>
      </c>
      <c r="Y122" s="107">
        <f t="shared" si="41"/>
        <v>0</v>
      </c>
      <c r="AA122" s="104">
        <f t="shared" si="35"/>
        <v>0</v>
      </c>
      <c r="AB122" s="104">
        <f t="shared" si="36"/>
        <v>0</v>
      </c>
    </row>
    <row r="123" spans="2:28" x14ac:dyDescent="0.25">
      <c r="B123" s="100" t="s">
        <v>161</v>
      </c>
      <c r="C123" s="100"/>
      <c r="D123" s="107">
        <f t="shared" si="39"/>
        <v>0</v>
      </c>
      <c r="E123" s="107">
        <f t="shared" si="39"/>
        <v>0</v>
      </c>
      <c r="F123" s="107">
        <f t="shared" si="39"/>
        <v>0</v>
      </c>
      <c r="G123" s="107">
        <f t="shared" si="39"/>
        <v>0</v>
      </c>
      <c r="H123" s="107">
        <f t="shared" si="39"/>
        <v>0</v>
      </c>
      <c r="I123" s="107">
        <f t="shared" si="39"/>
        <v>0</v>
      </c>
      <c r="J123" s="107">
        <f t="shared" si="39"/>
        <v>0</v>
      </c>
      <c r="K123" s="107">
        <f t="shared" si="39"/>
        <v>0</v>
      </c>
      <c r="L123" s="107">
        <f t="shared" si="39"/>
        <v>0</v>
      </c>
      <c r="M123" s="107">
        <f t="shared" si="39"/>
        <v>0</v>
      </c>
      <c r="N123" s="107">
        <f t="shared" si="40"/>
        <v>0</v>
      </c>
      <c r="O123" s="107">
        <f t="shared" si="40"/>
        <v>0</v>
      </c>
      <c r="P123" s="107">
        <f t="shared" si="40"/>
        <v>0</v>
      </c>
      <c r="Q123" s="107">
        <f t="shared" si="40"/>
        <v>0</v>
      </c>
      <c r="R123" s="107">
        <f t="shared" si="40"/>
        <v>0</v>
      </c>
      <c r="S123" s="107">
        <f t="shared" si="40"/>
        <v>0</v>
      </c>
      <c r="T123" s="107">
        <f t="shared" si="40"/>
        <v>0</v>
      </c>
      <c r="U123" s="107">
        <f t="shared" si="40"/>
        <v>0</v>
      </c>
      <c r="V123" s="107">
        <f t="shared" si="40"/>
        <v>0</v>
      </c>
      <c r="W123" s="107">
        <f t="shared" si="40"/>
        <v>0</v>
      </c>
      <c r="X123" s="107">
        <f t="shared" si="41"/>
        <v>0</v>
      </c>
      <c r="Y123" s="107">
        <f t="shared" si="41"/>
        <v>25</v>
      </c>
      <c r="AA123" s="104">
        <f t="shared" si="35"/>
        <v>0</v>
      </c>
      <c r="AB123" s="104">
        <f t="shared" si="36"/>
        <v>25</v>
      </c>
    </row>
    <row r="124" spans="2:28" x14ac:dyDescent="0.25">
      <c r="B124" s="100" t="s">
        <v>162</v>
      </c>
      <c r="C124" s="100"/>
      <c r="D124" s="107">
        <f t="shared" si="39"/>
        <v>0</v>
      </c>
      <c r="E124" s="107">
        <f t="shared" si="39"/>
        <v>0</v>
      </c>
      <c r="F124" s="107">
        <f t="shared" si="39"/>
        <v>0</v>
      </c>
      <c r="G124" s="107">
        <f t="shared" si="39"/>
        <v>0</v>
      </c>
      <c r="H124" s="107">
        <f t="shared" si="39"/>
        <v>0</v>
      </c>
      <c r="I124" s="107">
        <f t="shared" si="39"/>
        <v>0</v>
      </c>
      <c r="J124" s="107">
        <f t="shared" si="39"/>
        <v>0</v>
      </c>
      <c r="K124" s="107">
        <f t="shared" si="39"/>
        <v>0</v>
      </c>
      <c r="L124" s="107">
        <f t="shared" si="39"/>
        <v>0</v>
      </c>
      <c r="M124" s="107">
        <f t="shared" si="39"/>
        <v>0</v>
      </c>
      <c r="N124" s="107">
        <f t="shared" si="40"/>
        <v>0</v>
      </c>
      <c r="O124" s="107">
        <f t="shared" si="40"/>
        <v>0</v>
      </c>
      <c r="P124" s="107">
        <f t="shared" si="40"/>
        <v>0</v>
      </c>
      <c r="Q124" s="107">
        <f t="shared" si="40"/>
        <v>0</v>
      </c>
      <c r="R124" s="107">
        <f t="shared" si="40"/>
        <v>0</v>
      </c>
      <c r="S124" s="107">
        <f t="shared" si="40"/>
        <v>0</v>
      </c>
      <c r="T124" s="107">
        <f t="shared" si="40"/>
        <v>0</v>
      </c>
      <c r="U124" s="107">
        <f t="shared" si="40"/>
        <v>0</v>
      </c>
      <c r="V124" s="107">
        <f t="shared" si="40"/>
        <v>0</v>
      </c>
      <c r="W124" s="107">
        <f t="shared" si="40"/>
        <v>0</v>
      </c>
      <c r="X124" s="107">
        <f t="shared" si="41"/>
        <v>0</v>
      </c>
      <c r="Y124" s="107">
        <f t="shared" si="41"/>
        <v>0</v>
      </c>
      <c r="AA124" s="104">
        <f t="shared" si="35"/>
        <v>0</v>
      </c>
      <c r="AB124" s="104">
        <f t="shared" si="36"/>
        <v>0</v>
      </c>
    </row>
    <row r="125" spans="2:28" x14ac:dyDescent="0.25">
      <c r="B125" s="100" t="s">
        <v>163</v>
      </c>
      <c r="C125" s="100"/>
      <c r="D125" s="107">
        <f t="shared" si="39"/>
        <v>0</v>
      </c>
      <c r="E125" s="107">
        <f t="shared" si="39"/>
        <v>0</v>
      </c>
      <c r="F125" s="107">
        <f t="shared" si="39"/>
        <v>0</v>
      </c>
      <c r="G125" s="107">
        <f t="shared" si="39"/>
        <v>0</v>
      </c>
      <c r="H125" s="107">
        <f t="shared" si="39"/>
        <v>0</v>
      </c>
      <c r="I125" s="107">
        <f t="shared" si="39"/>
        <v>0</v>
      </c>
      <c r="J125" s="107">
        <f t="shared" si="39"/>
        <v>0</v>
      </c>
      <c r="K125" s="107">
        <f t="shared" si="39"/>
        <v>0</v>
      </c>
      <c r="L125" s="107">
        <f t="shared" si="39"/>
        <v>0</v>
      </c>
      <c r="M125" s="107">
        <f t="shared" si="39"/>
        <v>0</v>
      </c>
      <c r="N125" s="107">
        <f t="shared" si="40"/>
        <v>0</v>
      </c>
      <c r="O125" s="107">
        <f t="shared" si="40"/>
        <v>0</v>
      </c>
      <c r="P125" s="107">
        <f t="shared" si="40"/>
        <v>0</v>
      </c>
      <c r="Q125" s="107">
        <f t="shared" si="40"/>
        <v>0</v>
      </c>
      <c r="R125" s="107">
        <f t="shared" si="40"/>
        <v>0</v>
      </c>
      <c r="S125" s="107">
        <f t="shared" si="40"/>
        <v>0</v>
      </c>
      <c r="T125" s="107">
        <f t="shared" si="40"/>
        <v>0</v>
      </c>
      <c r="U125" s="107">
        <f t="shared" si="40"/>
        <v>0</v>
      </c>
      <c r="V125" s="107">
        <f t="shared" si="40"/>
        <v>0</v>
      </c>
      <c r="W125" s="107">
        <f t="shared" si="40"/>
        <v>23.358000000000001</v>
      </c>
      <c r="X125" s="107">
        <f t="shared" si="41"/>
        <v>17.175000000000001</v>
      </c>
      <c r="Y125" s="107">
        <f t="shared" si="41"/>
        <v>0</v>
      </c>
      <c r="AA125" s="104">
        <f t="shared" si="35"/>
        <v>0</v>
      </c>
      <c r="AB125" s="104">
        <f t="shared" si="36"/>
        <v>40.533000000000001</v>
      </c>
    </row>
    <row r="126" spans="2:28" x14ac:dyDescent="0.25">
      <c r="B126" s="100" t="s">
        <v>182</v>
      </c>
      <c r="C126" s="100"/>
      <c r="D126" s="107">
        <f t="shared" si="39"/>
        <v>0</v>
      </c>
      <c r="E126" s="107">
        <f t="shared" si="39"/>
        <v>0</v>
      </c>
      <c r="F126" s="107">
        <f t="shared" si="39"/>
        <v>0</v>
      </c>
      <c r="G126" s="107">
        <f t="shared" si="39"/>
        <v>0</v>
      </c>
      <c r="H126" s="107">
        <f t="shared" si="39"/>
        <v>0</v>
      </c>
      <c r="I126" s="107">
        <f t="shared" si="39"/>
        <v>0</v>
      </c>
      <c r="J126" s="107">
        <f t="shared" si="39"/>
        <v>0</v>
      </c>
      <c r="K126" s="107">
        <f t="shared" si="39"/>
        <v>0</v>
      </c>
      <c r="L126" s="107">
        <f t="shared" si="39"/>
        <v>0</v>
      </c>
      <c r="M126" s="107">
        <f t="shared" si="39"/>
        <v>0</v>
      </c>
      <c r="N126" s="107">
        <f t="shared" si="40"/>
        <v>0</v>
      </c>
      <c r="O126" s="107">
        <f t="shared" si="40"/>
        <v>0</v>
      </c>
      <c r="P126" s="107">
        <f t="shared" si="40"/>
        <v>0</v>
      </c>
      <c r="Q126" s="107">
        <f t="shared" si="40"/>
        <v>0</v>
      </c>
      <c r="R126" s="107">
        <f t="shared" si="40"/>
        <v>0</v>
      </c>
      <c r="S126" s="107">
        <f t="shared" si="40"/>
        <v>0</v>
      </c>
      <c r="T126" s="107">
        <f t="shared" si="40"/>
        <v>0</v>
      </c>
      <c r="U126" s="107">
        <f t="shared" si="40"/>
        <v>0</v>
      </c>
      <c r="V126" s="107">
        <f t="shared" si="40"/>
        <v>0</v>
      </c>
      <c r="W126" s="107">
        <f t="shared" si="40"/>
        <v>0</v>
      </c>
      <c r="X126" s="107">
        <f t="shared" si="41"/>
        <v>0</v>
      </c>
      <c r="Y126" s="107">
        <f t="shared" si="41"/>
        <v>0</v>
      </c>
      <c r="AA126" s="104">
        <f>SUM(D126:M126)</f>
        <v>0</v>
      </c>
      <c r="AB126" s="104">
        <f>SUM(N126:Y126)</f>
        <v>0</v>
      </c>
    </row>
    <row r="127" spans="2:28" x14ac:dyDescent="0.25">
      <c r="B127" s="103" t="s">
        <v>4</v>
      </c>
      <c r="C127" s="101"/>
      <c r="D127" s="108">
        <f>SUM(D113:D126)</f>
        <v>0</v>
      </c>
      <c r="E127" s="108">
        <f t="shared" ref="E127:Y127" si="42">SUM(E113:E126)</f>
        <v>0</v>
      </c>
      <c r="F127" s="108">
        <f t="shared" si="42"/>
        <v>0</v>
      </c>
      <c r="G127" s="108">
        <f t="shared" si="42"/>
        <v>0</v>
      </c>
      <c r="H127" s="108">
        <f t="shared" si="42"/>
        <v>0</v>
      </c>
      <c r="I127" s="108">
        <f t="shared" si="42"/>
        <v>0</v>
      </c>
      <c r="J127" s="108">
        <f t="shared" si="42"/>
        <v>0</v>
      </c>
      <c r="K127" s="108">
        <f t="shared" si="42"/>
        <v>0</v>
      </c>
      <c r="L127" s="108">
        <f t="shared" si="42"/>
        <v>0</v>
      </c>
      <c r="M127" s="108">
        <f t="shared" si="42"/>
        <v>0</v>
      </c>
      <c r="N127" s="108">
        <f t="shared" si="42"/>
        <v>90</v>
      </c>
      <c r="O127" s="108">
        <f t="shared" si="42"/>
        <v>0</v>
      </c>
      <c r="P127" s="108">
        <f t="shared" si="42"/>
        <v>0</v>
      </c>
      <c r="Q127" s="108">
        <f t="shared" si="42"/>
        <v>0</v>
      </c>
      <c r="R127" s="108">
        <f t="shared" si="42"/>
        <v>0</v>
      </c>
      <c r="S127" s="108">
        <f t="shared" si="42"/>
        <v>0</v>
      </c>
      <c r="T127" s="108">
        <f t="shared" si="42"/>
        <v>0</v>
      </c>
      <c r="U127" s="108">
        <f t="shared" si="42"/>
        <v>46</v>
      </c>
      <c r="V127" s="108">
        <f t="shared" si="42"/>
        <v>102</v>
      </c>
      <c r="W127" s="108">
        <f t="shared" si="42"/>
        <v>23.358000000000001</v>
      </c>
      <c r="X127" s="108">
        <f t="shared" si="42"/>
        <v>17.175000000000001</v>
      </c>
      <c r="Y127" s="108">
        <f t="shared" si="42"/>
        <v>90</v>
      </c>
      <c r="AA127" s="108">
        <f>SUM(AA113:AA126)</f>
        <v>0</v>
      </c>
      <c r="AB127" s="108">
        <f>SUM(AB113:AB126)</f>
        <v>368.53300000000002</v>
      </c>
    </row>
  </sheetData>
  <mergeCells count="3">
    <mergeCell ref="C4:Y4"/>
    <mergeCell ref="AA4:AW4"/>
    <mergeCell ref="AY4:BU4"/>
  </mergeCells>
  <conditionalFormatting sqref="C6:BU69 E95:Y95 D96:Y109 D113:Y126 AA96:AB109 AA113:AB126">
    <cfRule type="cellIs" dxfId="0" priority="2" operator="greaterThan">
      <formula>0</formula>
    </cfRule>
  </conditionalFormatting>
  <pageMargins left="0.25" right="0.25" top="0.75" bottom="0.75" header="0.3" footer="0.3"/>
  <pageSetup paperSize="5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Scenario List</vt:lpstr>
      <vt:lpstr>Sensitivities</vt:lpstr>
      <vt:lpstr>WA Sensitivities</vt:lpstr>
      <vt:lpstr>ID Sensitivities</vt:lpstr>
      <vt:lpstr>Sensitivity Summary</vt:lpstr>
      <vt:lpstr>Summary Data</vt:lpstr>
      <vt:lpstr>Summary Resources</vt:lpstr>
      <vt:lpstr>Resource Table</vt:lpstr>
      <vt:lpstr>PRS</vt:lpstr>
      <vt:lpstr>Annual Summaries</vt:lpstr>
      <vt:lpstr>Summary Table</vt:lpstr>
      <vt:lpstr>GHG-PRS</vt:lpstr>
      <vt:lpstr>Cost Cap</vt:lpstr>
      <vt:lpstr>SR-Avoided Cost</vt:lpstr>
      <vt:lpstr>Cost &amp; Rates</vt:lpstr>
      <vt:lpstr>GHG Emissions</vt:lpstr>
      <vt:lpstr>Risk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James Gall</cp:lastModifiedBy>
  <cp:lastPrinted>2023-02-13T23:53:22Z</cp:lastPrinted>
  <dcterms:created xsi:type="dcterms:W3CDTF">2022-11-30T18:51:16Z</dcterms:created>
  <dcterms:modified xsi:type="dcterms:W3CDTF">2023-03-30T22:56:00Z</dcterms:modified>
</cp:coreProperties>
</file>